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Local Disk\ARUM\ANAK USAHA JTI\New folder\"/>
    </mc:Choice>
  </mc:AlternateContent>
  <bookViews>
    <workbookView xWindow="0" yWindow="0" windowWidth="19200" windowHeight="6730"/>
  </bookViews>
  <sheets>
    <sheet name="backlog 1217" sheetId="3" r:id="rId1"/>
    <sheet name="Summary (2)" sheetId="2" r:id="rId2"/>
    <sheet name="Summary" sheetId="1" r:id="rId3"/>
  </sheets>
  <externalReferences>
    <externalReference r:id="rId4"/>
    <externalReference r:id="rId5"/>
    <externalReference r:id="rId6"/>
    <externalReference r:id="rId7"/>
  </externalReferences>
  <definedNames>
    <definedName name="_xlnm.Print_Area" localSheetId="0">'backlog 1217'!$A$1:$G$50</definedName>
    <definedName name="_xlnm.Print_Titles" localSheetId="0">'backlog 1217'!$1:$4</definedName>
    <definedName name="_xlnm.Print_Titles" localSheetId="2">Summary!$1:$4</definedName>
    <definedName name="_xlnm.Print_Titles" localSheetId="1">'Summary (2)'!$1:$4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49" i="3" l="1"/>
  <c r="N55" i="3" l="1"/>
  <c r="P55" i="3"/>
  <c r="P52" i="3" l="1"/>
  <c r="O30" i="3" l="1"/>
  <c r="Q30" i="3" s="1"/>
  <c r="N31" i="3"/>
  <c r="O23" i="3"/>
  <c r="Q23" i="3" s="1"/>
  <c r="N24" i="3"/>
  <c r="O189" i="3" l="1"/>
  <c r="O167" i="3"/>
  <c r="O147" i="3"/>
  <c r="O103" i="3"/>
  <c r="O79" i="3"/>
  <c r="O67" i="3"/>
  <c r="O191" i="3" s="1"/>
  <c r="N47" i="3"/>
  <c r="P46" i="3"/>
  <c r="N46" i="3"/>
  <c r="M46" i="3"/>
  <c r="P45" i="3"/>
  <c r="N45" i="3"/>
  <c r="M45" i="3"/>
  <c r="P44" i="3"/>
  <c r="N44" i="3"/>
  <c r="M44" i="3"/>
  <c r="P43" i="3"/>
  <c r="N43" i="3"/>
  <c r="M43" i="3"/>
  <c r="O41" i="3"/>
  <c r="Q41" i="3" s="1"/>
  <c r="Q40" i="3" s="1"/>
  <c r="Q47" i="3" s="1"/>
  <c r="P40" i="3"/>
  <c r="P47" i="3" s="1"/>
  <c r="N40" i="3"/>
  <c r="M40" i="3"/>
  <c r="M47" i="3" s="1"/>
  <c r="O39" i="3"/>
  <c r="Q39" i="3" s="1"/>
  <c r="O38" i="3"/>
  <c r="Q38" i="3" s="1"/>
  <c r="P37" i="3"/>
  <c r="N37" i="3"/>
  <c r="M37" i="3"/>
  <c r="O34" i="3"/>
  <c r="Q34" i="3" s="1"/>
  <c r="O33" i="3"/>
  <c r="Q33" i="3" s="1"/>
  <c r="P31" i="3"/>
  <c r="M31" i="3"/>
  <c r="O29" i="3"/>
  <c r="Q29" i="3" s="1"/>
  <c r="O28" i="3"/>
  <c r="Q28" i="3" s="1"/>
  <c r="Q27" i="3"/>
  <c r="O27" i="3"/>
  <c r="O26" i="3"/>
  <c r="Q26" i="3" s="1"/>
  <c r="O25" i="3"/>
  <c r="Q25" i="3" s="1"/>
  <c r="P24" i="3"/>
  <c r="M24" i="3"/>
  <c r="P19" i="3"/>
  <c r="N19" i="3"/>
  <c r="M19" i="3"/>
  <c r="O16" i="3"/>
  <c r="Q16" i="3" s="1"/>
  <c r="P14" i="3"/>
  <c r="N14" i="3"/>
  <c r="M14" i="3"/>
  <c r="O10" i="3"/>
  <c r="P9" i="3"/>
  <c r="N9" i="3"/>
  <c r="M9" i="3"/>
  <c r="Q37" i="3" l="1"/>
  <c r="Q24" i="3"/>
  <c r="P49" i="3"/>
  <c r="Q10" i="3"/>
  <c r="N49" i="3"/>
  <c r="N53" i="3" s="1"/>
  <c r="M49" i="3"/>
  <c r="M53" i="3" s="1"/>
  <c r="O37" i="3"/>
  <c r="O24" i="3"/>
  <c r="O40" i="3"/>
  <c r="O47" i="3" s="1"/>
  <c r="I26" i="3"/>
  <c r="I12" i="3"/>
  <c r="P53" i="3" l="1"/>
  <c r="K45" i="3"/>
  <c r="I45" i="3"/>
  <c r="H45" i="3"/>
  <c r="K44" i="3"/>
  <c r="I44" i="3"/>
  <c r="H44" i="3"/>
  <c r="K40" i="3"/>
  <c r="K47" i="3" s="1"/>
  <c r="I40" i="3"/>
  <c r="I47" i="3" s="1"/>
  <c r="H40" i="3"/>
  <c r="H47" i="3" s="1"/>
  <c r="G40" i="3"/>
  <c r="G47" i="3" s="1"/>
  <c r="J41" i="3" l="1"/>
  <c r="L41" i="3" l="1"/>
  <c r="L40" i="3" s="1"/>
  <c r="L47" i="3" s="1"/>
  <c r="J40" i="3"/>
  <c r="J47" i="3" l="1"/>
  <c r="I31" i="3" l="1"/>
  <c r="H31" i="3"/>
  <c r="K31" i="3"/>
  <c r="J36" i="3"/>
  <c r="I37" i="3"/>
  <c r="K19" i="3"/>
  <c r="H19" i="3"/>
  <c r="G19" i="3"/>
  <c r="I19" i="3"/>
  <c r="J21" i="3"/>
  <c r="L21" i="3" s="1"/>
  <c r="O21" i="3" s="1"/>
  <c r="Q21" i="3" s="1"/>
  <c r="L36" i="3" l="1"/>
  <c r="O36" i="3" s="1"/>
  <c r="Q36" i="3" s="1"/>
  <c r="K46" i="3"/>
  <c r="K43" i="3"/>
  <c r="K24" i="3"/>
  <c r="K14" i="3"/>
  <c r="K9" i="3"/>
  <c r="I46" i="3"/>
  <c r="I43" i="3"/>
  <c r="I24" i="3"/>
  <c r="I14" i="3"/>
  <c r="I9" i="3"/>
  <c r="I49" i="3" l="1"/>
  <c r="I53" i="3" s="1"/>
  <c r="K37" i="3"/>
  <c r="K49" i="3" s="1"/>
  <c r="H46" i="3"/>
  <c r="H43" i="3"/>
  <c r="H37" i="3"/>
  <c r="H24" i="3"/>
  <c r="H14" i="3"/>
  <c r="H9" i="3"/>
  <c r="J189" i="3"/>
  <c r="J167" i="3"/>
  <c r="J147" i="3"/>
  <c r="J103" i="3"/>
  <c r="J79" i="3"/>
  <c r="J67" i="3"/>
  <c r="H49" i="3" l="1"/>
  <c r="H53" i="3" s="1"/>
  <c r="K52" i="3"/>
  <c r="K53" i="3"/>
  <c r="J191" i="3"/>
  <c r="F44" i="3"/>
  <c r="D44" i="3"/>
  <c r="C44" i="3"/>
  <c r="B44" i="3"/>
  <c r="F46" i="3"/>
  <c r="D46" i="3"/>
  <c r="C46" i="3"/>
  <c r="C45" i="3"/>
  <c r="F43" i="3"/>
  <c r="D43" i="3"/>
  <c r="C43" i="3"/>
  <c r="B46" i="3"/>
  <c r="B45" i="3"/>
  <c r="B43" i="3" l="1"/>
  <c r="F37" i="3"/>
  <c r="D37" i="3"/>
  <c r="C37" i="3"/>
  <c r="B37" i="3"/>
  <c r="C24" i="3"/>
  <c r="B24" i="3"/>
  <c r="F31" i="3"/>
  <c r="D31" i="3"/>
  <c r="C31" i="3"/>
  <c r="B31" i="3"/>
  <c r="F19" i="3"/>
  <c r="D19" i="3"/>
  <c r="C19" i="3"/>
  <c r="B19" i="3"/>
  <c r="F14" i="3"/>
  <c r="D14" i="3"/>
  <c r="C14" i="3"/>
  <c r="B14" i="3"/>
  <c r="F9" i="3"/>
  <c r="D9" i="3"/>
  <c r="C9" i="3"/>
  <c r="B9" i="3"/>
  <c r="C49" i="3" l="1"/>
  <c r="B49" i="3"/>
  <c r="C189" i="3"/>
  <c r="B189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C167" i="3"/>
  <c r="B167" i="3"/>
  <c r="D151" i="3"/>
  <c r="D150" i="3"/>
  <c r="D147" i="3"/>
  <c r="C147" i="3"/>
  <c r="B147" i="3"/>
  <c r="C103" i="3"/>
  <c r="B103" i="3"/>
  <c r="D100" i="3"/>
  <c r="D99" i="3"/>
  <c r="D98" i="3"/>
  <c r="D97" i="3"/>
  <c r="D96" i="3"/>
  <c r="D95" i="3"/>
  <c r="D82" i="3"/>
  <c r="B79" i="3"/>
  <c r="D73" i="3"/>
  <c r="C72" i="3"/>
  <c r="C79" i="3" s="1"/>
  <c r="D67" i="3"/>
  <c r="C67" i="3"/>
  <c r="B67" i="3"/>
  <c r="E29" i="3"/>
  <c r="G29" i="3" s="1"/>
  <c r="J29" i="3" s="1"/>
  <c r="L29" i="3" s="1"/>
  <c r="F28" i="3"/>
  <c r="F45" i="3" s="1"/>
  <c r="D28" i="3"/>
  <c r="D45" i="3" s="1"/>
  <c r="E27" i="3"/>
  <c r="G27" i="3" s="1"/>
  <c r="J27" i="3" s="1"/>
  <c r="L27" i="3" s="1"/>
  <c r="E26" i="3"/>
  <c r="G26" i="3" s="1"/>
  <c r="J26" i="3" s="1"/>
  <c r="E25" i="3"/>
  <c r="E33" i="3"/>
  <c r="G33" i="3" s="1"/>
  <c r="J33" i="3" s="1"/>
  <c r="L33" i="3" s="1"/>
  <c r="E35" i="3"/>
  <c r="E34" i="3"/>
  <c r="E32" i="3"/>
  <c r="E22" i="3"/>
  <c r="E20" i="3"/>
  <c r="E18" i="3"/>
  <c r="E17" i="3"/>
  <c r="E16" i="3"/>
  <c r="G16" i="3" s="1"/>
  <c r="J16" i="3" s="1"/>
  <c r="L16" i="3" s="1"/>
  <c r="E15" i="3"/>
  <c r="E39" i="3"/>
  <c r="G39" i="3" s="1"/>
  <c r="J39" i="3" s="1"/>
  <c r="L39" i="3" s="1"/>
  <c r="E38" i="3"/>
  <c r="E13" i="3"/>
  <c r="E12" i="3"/>
  <c r="E11" i="3"/>
  <c r="E10" i="3"/>
  <c r="L26" i="3" l="1"/>
  <c r="E44" i="3"/>
  <c r="G17" i="3"/>
  <c r="G11" i="3"/>
  <c r="E43" i="3"/>
  <c r="E46" i="3"/>
  <c r="E14" i="3"/>
  <c r="D24" i="3"/>
  <c r="D49" i="3" s="1"/>
  <c r="E37" i="3"/>
  <c r="E31" i="3"/>
  <c r="F24" i="3"/>
  <c r="F49" i="3" s="1"/>
  <c r="E9" i="3"/>
  <c r="E19" i="3"/>
  <c r="D167" i="3"/>
  <c r="E167" i="3" s="1"/>
  <c r="E147" i="3"/>
  <c r="E67" i="3"/>
  <c r="G35" i="3"/>
  <c r="J35" i="3" s="1"/>
  <c r="L35" i="3" s="1"/>
  <c r="O35" i="3" s="1"/>
  <c r="Q35" i="3" s="1"/>
  <c r="G38" i="3"/>
  <c r="J22" i="3"/>
  <c r="L22" i="3" s="1"/>
  <c r="O22" i="3" s="1"/>
  <c r="Q22" i="3" s="1"/>
  <c r="D72" i="3"/>
  <c r="D79" i="3" s="1"/>
  <c r="E79" i="3" s="1"/>
  <c r="G15" i="3"/>
  <c r="J15" i="3" s="1"/>
  <c r="L15" i="3" s="1"/>
  <c r="O15" i="3" s="1"/>
  <c r="G12" i="3"/>
  <c r="J12" i="3" s="1"/>
  <c r="L12" i="3" s="1"/>
  <c r="O12" i="3" s="1"/>
  <c r="Q12" i="3" s="1"/>
  <c r="D103" i="3"/>
  <c r="E103" i="3" s="1"/>
  <c r="G13" i="3"/>
  <c r="J13" i="3" s="1"/>
  <c r="L13" i="3" s="1"/>
  <c r="O13" i="3" s="1"/>
  <c r="G32" i="3"/>
  <c r="C191" i="3"/>
  <c r="D189" i="3"/>
  <c r="G18" i="3"/>
  <c r="G34" i="3"/>
  <c r="J34" i="3" s="1"/>
  <c r="L34" i="3" s="1"/>
  <c r="G25" i="3"/>
  <c r="J25" i="3" s="1"/>
  <c r="L25" i="3" s="1"/>
  <c r="E28" i="3"/>
  <c r="G28" i="3" s="1"/>
  <c r="J28" i="3" s="1"/>
  <c r="L28" i="3" s="1"/>
  <c r="B191" i="3"/>
  <c r="G10" i="3"/>
  <c r="J20" i="3"/>
  <c r="D33" i="1"/>
  <c r="F33" i="1"/>
  <c r="Q13" i="3" l="1"/>
  <c r="Q15" i="3"/>
  <c r="G44" i="3"/>
  <c r="J19" i="3"/>
  <c r="G43" i="3"/>
  <c r="G45" i="3"/>
  <c r="J32" i="3"/>
  <c r="G31" i="3"/>
  <c r="L24" i="3"/>
  <c r="E45" i="3"/>
  <c r="L20" i="3"/>
  <c r="G9" i="3"/>
  <c r="J10" i="3"/>
  <c r="G37" i="3"/>
  <c r="J38" i="3"/>
  <c r="J18" i="3"/>
  <c r="G46" i="3"/>
  <c r="J17" i="3"/>
  <c r="J45" i="3" s="1"/>
  <c r="J24" i="3"/>
  <c r="J11" i="3"/>
  <c r="E24" i="3"/>
  <c r="E49" i="3" s="1"/>
  <c r="G14" i="3"/>
  <c r="G24" i="3"/>
  <c r="D191" i="3"/>
  <c r="E189" i="3"/>
  <c r="L19" i="3" l="1"/>
  <c r="O20" i="3"/>
  <c r="G49" i="3"/>
  <c r="L10" i="3"/>
  <c r="J44" i="3"/>
  <c r="L32" i="3"/>
  <c r="J31" i="3"/>
  <c r="J37" i="3"/>
  <c r="L38" i="3"/>
  <c r="L37" i="3" s="1"/>
  <c r="J46" i="3"/>
  <c r="L18" i="3"/>
  <c r="L17" i="3"/>
  <c r="J43" i="3"/>
  <c r="L11" i="3"/>
  <c r="J9" i="3"/>
  <c r="J14" i="3"/>
  <c r="E191" i="3"/>
  <c r="G29" i="1"/>
  <c r="G24" i="1"/>
  <c r="G21" i="1"/>
  <c r="G16" i="1"/>
  <c r="L43" i="3" l="1"/>
  <c r="O11" i="3"/>
  <c r="L31" i="3"/>
  <c r="O32" i="3"/>
  <c r="O44" i="3" s="1"/>
  <c r="L45" i="3"/>
  <c r="O17" i="3"/>
  <c r="Q20" i="3"/>
  <c r="O19" i="3"/>
  <c r="L46" i="3"/>
  <c r="O18" i="3"/>
  <c r="G50" i="3"/>
  <c r="L44" i="3"/>
  <c r="J49" i="3"/>
  <c r="J53" i="3" s="1"/>
  <c r="L9" i="3"/>
  <c r="L14" i="3"/>
  <c r="E14" i="1"/>
  <c r="G14" i="1" s="1"/>
  <c r="O14" i="1"/>
  <c r="P14" i="1" s="1"/>
  <c r="S14" i="1"/>
  <c r="E15" i="1"/>
  <c r="G15" i="1" s="1"/>
  <c r="Q32" i="3" l="1"/>
  <c r="Q31" i="3" s="1"/>
  <c r="O31" i="3"/>
  <c r="Q18" i="3"/>
  <c r="Q46" i="3" s="1"/>
  <c r="O46" i="3"/>
  <c r="Q19" i="3"/>
  <c r="Q17" i="3"/>
  <c r="O45" i="3"/>
  <c r="O14" i="3"/>
  <c r="Q11" i="3"/>
  <c r="O43" i="3"/>
  <c r="O9" i="3"/>
  <c r="G53" i="3"/>
  <c r="R14" i="1"/>
  <c r="L49" i="3"/>
  <c r="J51" i="3"/>
  <c r="J50" i="3"/>
  <c r="F36" i="1"/>
  <c r="E34" i="1"/>
  <c r="G34" i="1" s="1"/>
  <c r="E33" i="1"/>
  <c r="G33" i="1" s="1"/>
  <c r="E32" i="1"/>
  <c r="G32" i="1" s="1"/>
  <c r="E31" i="1"/>
  <c r="G31" i="1" s="1"/>
  <c r="E30" i="1"/>
  <c r="G30" i="1" s="1"/>
  <c r="E28" i="1"/>
  <c r="G28" i="1" s="1"/>
  <c r="E27" i="1"/>
  <c r="G27" i="1" s="1"/>
  <c r="E26" i="1"/>
  <c r="G26" i="1" s="1"/>
  <c r="E25" i="1"/>
  <c r="G25" i="1" s="1"/>
  <c r="E23" i="1"/>
  <c r="G23" i="1" s="1"/>
  <c r="E22" i="1"/>
  <c r="G22" i="1" s="1"/>
  <c r="E20" i="1"/>
  <c r="G20" i="1" s="1"/>
  <c r="E19" i="1"/>
  <c r="G19" i="1" s="1"/>
  <c r="E18" i="1"/>
  <c r="G18" i="1" s="1"/>
  <c r="E17" i="1"/>
  <c r="G17" i="1" s="1"/>
  <c r="E13" i="1"/>
  <c r="G13" i="1" s="1"/>
  <c r="E12" i="1"/>
  <c r="G12" i="1" s="1"/>
  <c r="E11" i="1"/>
  <c r="G11" i="1" s="1"/>
  <c r="E10" i="1"/>
  <c r="G10" i="1" s="1"/>
  <c r="Q45" i="3" l="1"/>
  <c r="Q14" i="3"/>
  <c r="Q43" i="3"/>
  <c r="Q9" i="3"/>
  <c r="Q44" i="3"/>
  <c r="O49" i="3"/>
  <c r="L53" i="3"/>
  <c r="G36" i="1"/>
  <c r="O538" i="2"/>
  <c r="N538" i="2"/>
  <c r="M538" i="2"/>
  <c r="L538" i="2"/>
  <c r="K538" i="2"/>
  <c r="J538" i="2"/>
  <c r="I538" i="2"/>
  <c r="H538" i="2"/>
  <c r="R536" i="2"/>
  <c r="G536" i="2"/>
  <c r="C536" i="2"/>
  <c r="B536" i="2"/>
  <c r="D534" i="2"/>
  <c r="D533" i="2"/>
  <c r="D532" i="2"/>
  <c r="D531" i="2"/>
  <c r="D530" i="2"/>
  <c r="D529" i="2"/>
  <c r="D528" i="2"/>
  <c r="D526" i="2"/>
  <c r="D525" i="2"/>
  <c r="D524" i="2"/>
  <c r="D523" i="2"/>
  <c r="D522" i="2"/>
  <c r="D521" i="2"/>
  <c r="D520" i="2"/>
  <c r="D519" i="2"/>
  <c r="D518" i="2"/>
  <c r="D517" i="2"/>
  <c r="D516" i="2"/>
  <c r="D515" i="2"/>
  <c r="D514" i="2"/>
  <c r="D513" i="2"/>
  <c r="D512" i="2"/>
  <c r="D510" i="2"/>
  <c r="D509" i="2"/>
  <c r="D508" i="2"/>
  <c r="D507" i="2"/>
  <c r="D506" i="2"/>
  <c r="D505" i="2"/>
  <c r="D504" i="2"/>
  <c r="D503" i="2"/>
  <c r="D502" i="2"/>
  <c r="R498" i="2"/>
  <c r="G498" i="2"/>
  <c r="C498" i="2"/>
  <c r="B498" i="2"/>
  <c r="D469" i="2"/>
  <c r="D498" i="2" s="1"/>
  <c r="R465" i="2"/>
  <c r="G465" i="2"/>
  <c r="D465" i="2"/>
  <c r="C465" i="2"/>
  <c r="B465" i="2"/>
  <c r="R403" i="2"/>
  <c r="G403" i="2"/>
  <c r="C403" i="2"/>
  <c r="B403" i="2"/>
  <c r="D374" i="2"/>
  <c r="D373" i="2"/>
  <c r="D403" i="2" s="1"/>
  <c r="R357" i="2"/>
  <c r="G357" i="2"/>
  <c r="D357" i="2"/>
  <c r="C357" i="2"/>
  <c r="B357" i="2"/>
  <c r="R334" i="2"/>
  <c r="R538" i="2" s="1"/>
  <c r="E334" i="2"/>
  <c r="P334" i="2" s="1"/>
  <c r="D334" i="2"/>
  <c r="C334" i="2"/>
  <c r="B334" i="2"/>
  <c r="O318" i="2"/>
  <c r="N318" i="2"/>
  <c r="M318" i="2"/>
  <c r="L318" i="2"/>
  <c r="K318" i="2"/>
  <c r="J318" i="2"/>
  <c r="I318" i="2"/>
  <c r="H318" i="2"/>
  <c r="R316" i="2"/>
  <c r="G316" i="2"/>
  <c r="C316" i="2"/>
  <c r="B316" i="2"/>
  <c r="D314" i="2"/>
  <c r="D313" i="2"/>
  <c r="D312" i="2"/>
  <c r="D311" i="2"/>
  <c r="D310" i="2"/>
  <c r="D309" i="2"/>
  <c r="D308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0" i="2"/>
  <c r="D289" i="2"/>
  <c r="D288" i="2"/>
  <c r="D287" i="2"/>
  <c r="D286" i="2"/>
  <c r="D285" i="2"/>
  <c r="D284" i="2"/>
  <c r="R280" i="2"/>
  <c r="R21" i="2" s="1"/>
  <c r="G280" i="2"/>
  <c r="C280" i="2"/>
  <c r="B280" i="2"/>
  <c r="D251" i="2"/>
  <c r="D280" i="2" s="1"/>
  <c r="E280" i="2" s="1"/>
  <c r="R247" i="2"/>
  <c r="R18" i="2" s="1"/>
  <c r="G247" i="2"/>
  <c r="D247" i="2"/>
  <c r="C247" i="2"/>
  <c r="B247" i="2"/>
  <c r="E247" i="2" s="1"/>
  <c r="P247" i="2" s="1"/>
  <c r="R191" i="2"/>
  <c r="G191" i="2"/>
  <c r="C191" i="2"/>
  <c r="B191" i="2"/>
  <c r="D154" i="2"/>
  <c r="D191" i="2" s="1"/>
  <c r="R129" i="2"/>
  <c r="R31" i="2" s="1"/>
  <c r="G129" i="2"/>
  <c r="C129" i="2"/>
  <c r="B129" i="2"/>
  <c r="D91" i="2"/>
  <c r="D129" i="2" s="1"/>
  <c r="R70" i="2"/>
  <c r="R318" i="2" s="1"/>
  <c r="D70" i="2"/>
  <c r="C70" i="2"/>
  <c r="B70" i="2"/>
  <c r="O36" i="2"/>
  <c r="K36" i="2"/>
  <c r="K38" i="2" s="1"/>
  <c r="W35" i="2"/>
  <c r="D34" i="2"/>
  <c r="C34" i="2"/>
  <c r="R33" i="2"/>
  <c r="Q33" i="2"/>
  <c r="M33" i="2"/>
  <c r="N33" i="2" s="1"/>
  <c r="D33" i="2"/>
  <c r="C33" i="2"/>
  <c r="Q31" i="2"/>
  <c r="L31" i="2"/>
  <c r="M31" i="2" s="1"/>
  <c r="N31" i="2" s="1"/>
  <c r="D31" i="2"/>
  <c r="C31" i="2"/>
  <c r="D30" i="2"/>
  <c r="C30" i="2"/>
  <c r="B30" i="2"/>
  <c r="S29" i="2"/>
  <c r="G29" i="2"/>
  <c r="F29" i="2"/>
  <c r="D29" i="2"/>
  <c r="C29" i="2"/>
  <c r="B29" i="2"/>
  <c r="D28" i="2"/>
  <c r="C28" i="2"/>
  <c r="S27" i="2"/>
  <c r="M27" i="2"/>
  <c r="H27" i="2"/>
  <c r="G27" i="2"/>
  <c r="F27" i="2"/>
  <c r="D27" i="2"/>
  <c r="C27" i="2"/>
  <c r="I26" i="2"/>
  <c r="J26" i="2" s="1"/>
  <c r="E25" i="2"/>
  <c r="W25" i="2" s="1"/>
  <c r="X25" i="2" s="1"/>
  <c r="D25" i="2"/>
  <c r="C25" i="2"/>
  <c r="R24" i="2"/>
  <c r="G24" i="2"/>
  <c r="F24" i="2"/>
  <c r="D24" i="2"/>
  <c r="C24" i="2"/>
  <c r="M23" i="2"/>
  <c r="H23" i="2"/>
  <c r="G23" i="2"/>
  <c r="F23" i="2"/>
  <c r="D23" i="2"/>
  <c r="C23" i="2"/>
  <c r="I22" i="2"/>
  <c r="J22" i="2" s="1"/>
  <c r="S21" i="2"/>
  <c r="G21" i="2"/>
  <c r="F21" i="2"/>
  <c r="D21" i="2"/>
  <c r="C21" i="2"/>
  <c r="M20" i="2"/>
  <c r="H20" i="2"/>
  <c r="G20" i="2"/>
  <c r="F20" i="2"/>
  <c r="D20" i="2"/>
  <c r="C20" i="2"/>
  <c r="I19" i="2"/>
  <c r="J19" i="2" s="1"/>
  <c r="S18" i="2"/>
  <c r="D18" i="2"/>
  <c r="C18" i="2"/>
  <c r="S17" i="2"/>
  <c r="G17" i="2"/>
  <c r="F17" i="2"/>
  <c r="D17" i="2"/>
  <c r="C17" i="2"/>
  <c r="D16" i="2"/>
  <c r="C16" i="2"/>
  <c r="S15" i="2"/>
  <c r="M15" i="2"/>
  <c r="H15" i="2"/>
  <c r="G15" i="2"/>
  <c r="F15" i="2"/>
  <c r="D15" i="2"/>
  <c r="C15" i="2"/>
  <c r="I14" i="2"/>
  <c r="R13" i="2"/>
  <c r="G13" i="2"/>
  <c r="H13" i="2" s="1"/>
  <c r="F13" i="2"/>
  <c r="D13" i="2"/>
  <c r="C13" i="2"/>
  <c r="S12" i="2"/>
  <c r="G12" i="2"/>
  <c r="F12" i="2"/>
  <c r="D12" i="2"/>
  <c r="C12" i="2"/>
  <c r="S11" i="2"/>
  <c r="M11" i="2"/>
  <c r="M36" i="2" s="1"/>
  <c r="G11" i="2"/>
  <c r="F11" i="2"/>
  <c r="D11" i="2"/>
  <c r="C11" i="2"/>
  <c r="G10" i="2"/>
  <c r="F10" i="2"/>
  <c r="D10" i="2"/>
  <c r="C10" i="2"/>
  <c r="T176" i="1"/>
  <c r="T14" i="1" s="1"/>
  <c r="V14" i="1" s="1"/>
  <c r="C176" i="1"/>
  <c r="B176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C154" i="1"/>
  <c r="B154" i="1"/>
  <c r="T140" i="1"/>
  <c r="T154" i="1" s="1"/>
  <c r="T23" i="1" s="1"/>
  <c r="D138" i="1"/>
  <c r="D137" i="1"/>
  <c r="D154" i="1" s="1"/>
  <c r="T134" i="1"/>
  <c r="T20" i="1" s="1"/>
  <c r="D134" i="1"/>
  <c r="C134" i="1"/>
  <c r="B134" i="1"/>
  <c r="T90" i="1"/>
  <c r="T27" i="1" s="1"/>
  <c r="S90" i="1"/>
  <c r="Q90" i="1"/>
  <c r="P90" i="1"/>
  <c r="O90" i="1"/>
  <c r="N90" i="1"/>
  <c r="M90" i="1"/>
  <c r="L90" i="1"/>
  <c r="K90" i="1"/>
  <c r="J90" i="1"/>
  <c r="I90" i="1"/>
  <c r="O17" i="1" s="1"/>
  <c r="H90" i="1"/>
  <c r="C90" i="1"/>
  <c r="B90" i="1"/>
  <c r="D87" i="1"/>
  <c r="D86" i="1"/>
  <c r="D85" i="1"/>
  <c r="D84" i="1"/>
  <c r="D83" i="1"/>
  <c r="D82" i="1"/>
  <c r="D69" i="1"/>
  <c r="T66" i="1"/>
  <c r="T34" i="1" s="1"/>
  <c r="B66" i="1"/>
  <c r="D60" i="1"/>
  <c r="C59" i="1"/>
  <c r="C66" i="1" s="1"/>
  <c r="T54" i="1"/>
  <c r="D54" i="1"/>
  <c r="C54" i="1"/>
  <c r="B54" i="1"/>
  <c r="Q36" i="1"/>
  <c r="M36" i="1"/>
  <c r="M38" i="1" s="1"/>
  <c r="B36" i="1"/>
  <c r="S34" i="1"/>
  <c r="N34" i="1"/>
  <c r="O34" i="1" s="1"/>
  <c r="P34" i="1" s="1"/>
  <c r="U32" i="1"/>
  <c r="I32" i="1"/>
  <c r="H32" i="1"/>
  <c r="U30" i="1"/>
  <c r="O30" i="1"/>
  <c r="J30" i="1"/>
  <c r="I30" i="1"/>
  <c r="H30" i="1"/>
  <c r="K28" i="1"/>
  <c r="L28" i="1" s="1"/>
  <c r="R26" i="1"/>
  <c r="I27" i="1"/>
  <c r="H27" i="1"/>
  <c r="O25" i="1"/>
  <c r="J25" i="1"/>
  <c r="I25" i="1"/>
  <c r="H25" i="1"/>
  <c r="K24" i="1"/>
  <c r="L24" i="1" s="1"/>
  <c r="U23" i="1"/>
  <c r="I23" i="1"/>
  <c r="H23" i="1"/>
  <c r="O22" i="1"/>
  <c r="J22" i="1"/>
  <c r="I22" i="1"/>
  <c r="H22" i="1"/>
  <c r="K21" i="1"/>
  <c r="L21" i="1" s="1"/>
  <c r="U20" i="1"/>
  <c r="U19" i="1"/>
  <c r="I19" i="1"/>
  <c r="H19" i="1"/>
  <c r="U17" i="1"/>
  <c r="J17" i="1"/>
  <c r="I17" i="1"/>
  <c r="H17" i="1"/>
  <c r="K16" i="1"/>
  <c r="I13" i="1"/>
  <c r="J13" i="1" s="1"/>
  <c r="H13" i="1"/>
  <c r="U12" i="1"/>
  <c r="I12" i="1"/>
  <c r="H12" i="1"/>
  <c r="U11" i="1"/>
  <c r="O11" i="1"/>
  <c r="O36" i="1" s="1"/>
  <c r="I11" i="1"/>
  <c r="H11" i="1"/>
  <c r="I10" i="1"/>
  <c r="J10" i="1" s="1"/>
  <c r="H10" i="1"/>
  <c r="O53" i="3" l="1"/>
  <c r="O50" i="3"/>
  <c r="O51" i="3"/>
  <c r="Q49" i="3"/>
  <c r="Q53" i="3" s="1"/>
  <c r="E498" i="2"/>
  <c r="E465" i="2"/>
  <c r="E357" i="2"/>
  <c r="B318" i="2"/>
  <c r="E129" i="2"/>
  <c r="D316" i="2"/>
  <c r="E316" i="2" s="1"/>
  <c r="E403" i="2"/>
  <c r="F247" i="2"/>
  <c r="C538" i="2"/>
  <c r="E70" i="2"/>
  <c r="P70" i="2" s="1"/>
  <c r="D536" i="2"/>
  <c r="E536" i="2" s="1"/>
  <c r="S36" i="2"/>
  <c r="E31" i="2"/>
  <c r="E18" i="2"/>
  <c r="E27" i="2"/>
  <c r="J27" i="2" s="1"/>
  <c r="E30" i="2"/>
  <c r="E11" i="2"/>
  <c r="J11" i="2" s="1"/>
  <c r="E13" i="2"/>
  <c r="J13" i="2" s="1"/>
  <c r="E21" i="2"/>
  <c r="J21" i="2" s="1"/>
  <c r="E134" i="1"/>
  <c r="H134" i="1" s="1"/>
  <c r="P14" i="2"/>
  <c r="F36" i="2"/>
  <c r="P22" i="2"/>
  <c r="L30" i="1"/>
  <c r="S30" i="1" s="1"/>
  <c r="E12" i="2"/>
  <c r="J12" i="2" s="1"/>
  <c r="E17" i="2"/>
  <c r="J17" i="2" s="1"/>
  <c r="E24" i="2"/>
  <c r="J24" i="2" s="1"/>
  <c r="E29" i="2"/>
  <c r="J29" i="2" s="1"/>
  <c r="L29" i="2" s="1"/>
  <c r="N29" i="2" s="1"/>
  <c r="P35" i="2"/>
  <c r="E154" i="1"/>
  <c r="I154" i="1" s="1"/>
  <c r="T21" i="2"/>
  <c r="T31" i="2"/>
  <c r="E28" i="2"/>
  <c r="W28" i="2" s="1"/>
  <c r="X28" i="2" s="1"/>
  <c r="E16" i="2"/>
  <c r="E20" i="2"/>
  <c r="E23" i="2"/>
  <c r="W23" i="2" s="1"/>
  <c r="X23" i="2" s="1"/>
  <c r="P32" i="2"/>
  <c r="E34" i="2"/>
  <c r="L17" i="1"/>
  <c r="S17" i="1" s="1"/>
  <c r="R27" i="1"/>
  <c r="V23" i="1"/>
  <c r="U36" i="1"/>
  <c r="R20" i="1"/>
  <c r="R22" i="1"/>
  <c r="D36" i="1"/>
  <c r="G37" i="1" s="1"/>
  <c r="H36" i="1"/>
  <c r="D59" i="1"/>
  <c r="D66" i="1" s="1"/>
  <c r="E66" i="1" s="1"/>
  <c r="I66" i="1" s="1"/>
  <c r="D176" i="1"/>
  <c r="E176" i="1" s="1"/>
  <c r="I176" i="1" s="1"/>
  <c r="J36" i="1"/>
  <c r="L19" i="1"/>
  <c r="D90" i="1"/>
  <c r="C178" i="1"/>
  <c r="C36" i="1"/>
  <c r="C37" i="1" s="1"/>
  <c r="L11" i="1"/>
  <c r="S11" i="1" s="1"/>
  <c r="K36" i="1"/>
  <c r="T178" i="1"/>
  <c r="V34" i="1"/>
  <c r="R11" i="1"/>
  <c r="R13" i="1"/>
  <c r="R25" i="1"/>
  <c r="R28" i="1"/>
  <c r="L23" i="1"/>
  <c r="I36" i="1"/>
  <c r="V20" i="1"/>
  <c r="P280" i="2"/>
  <c r="F280" i="2"/>
  <c r="F316" i="2"/>
  <c r="P316" i="2"/>
  <c r="T18" i="2"/>
  <c r="E15" i="2"/>
  <c r="B36" i="2"/>
  <c r="P498" i="2"/>
  <c r="F498" i="2"/>
  <c r="R36" i="2"/>
  <c r="T13" i="2"/>
  <c r="P19" i="2"/>
  <c r="P26" i="2"/>
  <c r="E191" i="2"/>
  <c r="D318" i="2"/>
  <c r="G36" i="2"/>
  <c r="J14" i="2"/>
  <c r="I36" i="2"/>
  <c r="T24" i="2"/>
  <c r="E33" i="2"/>
  <c r="W33" i="2" s="1"/>
  <c r="X33" i="2" s="1"/>
  <c r="T33" i="2"/>
  <c r="C318" i="2"/>
  <c r="F357" i="2"/>
  <c r="P357" i="2"/>
  <c r="C36" i="2"/>
  <c r="D36" i="2"/>
  <c r="E318" i="2"/>
  <c r="F70" i="2"/>
  <c r="F129" i="2"/>
  <c r="P129" i="2"/>
  <c r="F403" i="2"/>
  <c r="P403" i="2"/>
  <c r="P465" i="2"/>
  <c r="F465" i="2"/>
  <c r="B538" i="2"/>
  <c r="H10" i="2"/>
  <c r="H36" i="2" s="1"/>
  <c r="F334" i="2"/>
  <c r="E10" i="2"/>
  <c r="V154" i="1"/>
  <c r="E54" i="1"/>
  <c r="B178" i="1"/>
  <c r="L16" i="1"/>
  <c r="R16" i="1"/>
  <c r="V134" i="1"/>
  <c r="V27" i="1"/>
  <c r="R21" i="1"/>
  <c r="R24" i="1"/>
  <c r="T13" i="1"/>
  <c r="P536" i="2" l="1"/>
  <c r="E538" i="2"/>
  <c r="F536" i="2"/>
  <c r="D538" i="2"/>
  <c r="P538" i="2"/>
  <c r="P11" i="2"/>
  <c r="W12" i="2"/>
  <c r="X12" i="2" s="1"/>
  <c r="P13" i="2"/>
  <c r="P12" i="2"/>
  <c r="W27" i="2"/>
  <c r="X27" i="2" s="1"/>
  <c r="W11" i="2"/>
  <c r="X11" i="2" s="1"/>
  <c r="W24" i="2"/>
  <c r="X24" i="2" s="1"/>
  <c r="W21" i="2"/>
  <c r="X21" i="2" s="1"/>
  <c r="W13" i="2"/>
  <c r="X13" i="2" s="1"/>
  <c r="W17" i="2"/>
  <c r="X17" i="2" s="1"/>
  <c r="D178" i="1"/>
  <c r="J23" i="2"/>
  <c r="Q23" i="2" s="1"/>
  <c r="V66" i="1"/>
  <c r="E90" i="1"/>
  <c r="V90" i="1" s="1"/>
  <c r="N11" i="1"/>
  <c r="P11" i="1" s="1"/>
  <c r="N30" i="1"/>
  <c r="P30" i="1" s="1"/>
  <c r="Q29" i="2"/>
  <c r="W29" i="2"/>
  <c r="X29" i="2" s="1"/>
  <c r="R30" i="1"/>
  <c r="N17" i="1"/>
  <c r="P17" i="1" s="1"/>
  <c r="V176" i="1"/>
  <c r="J20" i="2"/>
  <c r="W20" i="2"/>
  <c r="X20" i="2" s="1"/>
  <c r="L27" i="1"/>
  <c r="S27" i="1" s="1"/>
  <c r="L22" i="1"/>
  <c r="N22" i="1" s="1"/>
  <c r="P22" i="1" s="1"/>
  <c r="R19" i="1"/>
  <c r="L13" i="1"/>
  <c r="N13" i="1" s="1"/>
  <c r="P13" i="1" s="1"/>
  <c r="L25" i="1"/>
  <c r="N25" i="1" s="1"/>
  <c r="P25" i="1" s="1"/>
  <c r="R23" i="1"/>
  <c r="J10" i="2"/>
  <c r="E36" i="2"/>
  <c r="Q13" i="2"/>
  <c r="L13" i="2"/>
  <c r="N13" i="2" s="1"/>
  <c r="F538" i="2"/>
  <c r="L12" i="2"/>
  <c r="N12" i="2" s="1"/>
  <c r="Q12" i="2"/>
  <c r="L17" i="2"/>
  <c r="N17" i="2" s="1"/>
  <c r="Q17" i="2"/>
  <c r="Q11" i="2"/>
  <c r="L11" i="2"/>
  <c r="N11" i="2" s="1"/>
  <c r="T36" i="2"/>
  <c r="C37" i="2"/>
  <c r="Q27" i="2"/>
  <c r="L27" i="2"/>
  <c r="N27" i="2" s="1"/>
  <c r="P191" i="2"/>
  <c r="P318" i="2" s="1"/>
  <c r="F191" i="2"/>
  <c r="F318" i="2" s="1"/>
  <c r="L24" i="2"/>
  <c r="N24" i="2" s="1"/>
  <c r="Q24" i="2"/>
  <c r="Q21" i="2"/>
  <c r="L21" i="2"/>
  <c r="N21" i="2" s="1"/>
  <c r="W15" i="2"/>
  <c r="X15" i="2" s="1"/>
  <c r="J15" i="2"/>
  <c r="S19" i="1"/>
  <c r="N19" i="1"/>
  <c r="P19" i="1" s="1"/>
  <c r="V54" i="1"/>
  <c r="V178" i="1" s="1"/>
  <c r="I54" i="1"/>
  <c r="R32" i="1"/>
  <c r="L32" i="1"/>
  <c r="L12" i="1"/>
  <c r="R12" i="1"/>
  <c r="I134" i="1"/>
  <c r="V13" i="1"/>
  <c r="V36" i="1" s="1"/>
  <c r="T36" i="1"/>
  <c r="E36" i="1"/>
  <c r="E37" i="1" s="1"/>
  <c r="L10" i="1"/>
  <c r="S23" i="1"/>
  <c r="N23" i="1"/>
  <c r="P23" i="1" s="1"/>
  <c r="E178" i="1" l="1"/>
  <c r="P36" i="2"/>
  <c r="L23" i="2"/>
  <c r="N23" i="2" s="1"/>
  <c r="W36" i="1"/>
  <c r="S22" i="1"/>
  <c r="S25" i="1"/>
  <c r="N27" i="1"/>
  <c r="P27" i="1" s="1"/>
  <c r="Q20" i="2"/>
  <c r="L20" i="2"/>
  <c r="N20" i="2" s="1"/>
  <c r="S13" i="1"/>
  <c r="W36" i="2"/>
  <c r="X36" i="2" s="1"/>
  <c r="R39" i="2"/>
  <c r="E38" i="2"/>
  <c r="E37" i="2"/>
  <c r="L15" i="2"/>
  <c r="N15" i="2" s="1"/>
  <c r="Q15" i="2"/>
  <c r="J36" i="2"/>
  <c r="Q36" i="2" s="1"/>
  <c r="L10" i="2"/>
  <c r="N10" i="1"/>
  <c r="L36" i="1"/>
  <c r="S36" i="1" s="1"/>
  <c r="N32" i="1"/>
  <c r="P32" i="1" s="1"/>
  <c r="S32" i="1"/>
  <c r="E38" i="1"/>
  <c r="T39" i="1"/>
  <c r="J134" i="1"/>
  <c r="I178" i="1"/>
  <c r="R36" i="1"/>
  <c r="N12" i="1"/>
  <c r="P12" i="1" s="1"/>
  <c r="S12" i="1"/>
  <c r="N10" i="2" l="1"/>
  <c r="N36" i="2" s="1"/>
  <c r="N37" i="2" s="1"/>
  <c r="L36" i="2"/>
  <c r="R40" i="2"/>
  <c r="P39" i="2"/>
  <c r="K134" i="1"/>
  <c r="P10" i="1"/>
  <c r="P36" i="1" s="1"/>
  <c r="P37" i="1" s="1"/>
  <c r="N36" i="1"/>
  <c r="L37" i="2" l="1"/>
  <c r="L38" i="2"/>
  <c r="L40" i="2"/>
  <c r="N40" i="1"/>
  <c r="N38" i="1"/>
  <c r="N37" i="1"/>
  <c r="L134" i="1"/>
  <c r="M134" i="1" l="1"/>
  <c r="N134" i="1" l="1"/>
  <c r="O134" i="1" l="1"/>
  <c r="P134" i="1" l="1"/>
  <c r="Q134" i="1" s="1"/>
  <c r="S134" i="1" s="1"/>
  <c r="C50" i="3" l="1"/>
  <c r="E50" i="3"/>
  <c r="E51" i="3"/>
  <c r="G538" i="2" l="1"/>
  <c r="G334" i="2"/>
  <c r="G70" i="2"/>
  <c r="G318" i="2"/>
</calcChain>
</file>

<file path=xl/sharedStrings.xml><?xml version="1.0" encoding="utf-8"?>
<sst xmlns="http://schemas.openxmlformats.org/spreadsheetml/2006/main" count="724" uniqueCount="390">
  <si>
    <t>PT JAYA TEKNIK INDONESIA</t>
  </si>
  <si>
    <t>LAPORAN PROYEK ON HAND TAHUN 2016</t>
  </si>
  <si>
    <t>PROYEK</t>
  </si>
  <si>
    <t>DIVISI</t>
  </si>
  <si>
    <t>RENCANA</t>
  </si>
  <si>
    <t>BACK LOG</t>
  </si>
  <si>
    <t>BARU</t>
  </si>
  <si>
    <t xml:space="preserve">REALISASI </t>
  </si>
  <si>
    <t>PROYEKSI</t>
  </si>
  <si>
    <t>REALISASI</t>
  </si>
  <si>
    <t>BACKLOG</t>
  </si>
  <si>
    <t>KERJA</t>
  </si>
  <si>
    <t>TOTAL</t>
  </si>
  <si>
    <t>PIPELINE</t>
  </si>
  <si>
    <t>ON HAND</t>
  </si>
  <si>
    <t>S/D AGS 2012</t>
  </si>
  <si>
    <t>BLM PERFORM</t>
  </si>
  <si>
    <t>SEPT S/D DES</t>
  </si>
  <si>
    <t>2012</t>
  </si>
  <si>
    <t>2013</t>
  </si>
  <si>
    <t>TAMBAH</t>
  </si>
  <si>
    <t>ME - AC</t>
  </si>
  <si>
    <t>ME - MEKANIKAL</t>
  </si>
  <si>
    <t>ME - ELEKTRIKAL</t>
  </si>
  <si>
    <t>ME - SOM</t>
  </si>
  <si>
    <t>ACR - TRADING</t>
  </si>
  <si>
    <t>ACR - INSTALASI</t>
  </si>
  <si>
    <t>ACR - S&amp;M</t>
  </si>
  <si>
    <t>ACR - SOM</t>
  </si>
  <si>
    <t>DCNP - TRADING</t>
  </si>
  <si>
    <t xml:space="preserve">DCNP - S&amp;M </t>
  </si>
  <si>
    <t>FSC - TRADING</t>
  </si>
  <si>
    <t>FSC - S&amp;M</t>
  </si>
  <si>
    <t>FSC - SOM</t>
  </si>
  <si>
    <t>ICT - TRADING</t>
  </si>
  <si>
    <t>ICT - S&amp;M</t>
  </si>
  <si>
    <t>ICT - SOM</t>
  </si>
  <si>
    <t>ELEVATOR &amp; ESCALATOR</t>
  </si>
  <si>
    <t>Asumsi Kurs 1 USD = 13000</t>
  </si>
  <si>
    <t>IDR</t>
  </si>
  <si>
    <t>USD</t>
  </si>
  <si>
    <t>equivalen</t>
  </si>
  <si>
    <t>TOTAL IDR</t>
  </si>
  <si>
    <t>Divisi ME</t>
  </si>
  <si>
    <t>Menara Palma 2</t>
  </si>
  <si>
    <t>Paragon Hotel</t>
  </si>
  <si>
    <t>Pondok Indah Hotel</t>
  </si>
  <si>
    <t>The Ascent - Bintaro</t>
  </si>
  <si>
    <t>Tri Star Hotel</t>
  </si>
  <si>
    <t>UPJ</t>
  </si>
  <si>
    <t>BSD Retrofit</t>
  </si>
  <si>
    <t>Infrastruktur Sang Pelopor</t>
  </si>
  <si>
    <t>Divisi ICT</t>
  </si>
  <si>
    <t>Bandara Sepinggan - X-ray &amp; Evac</t>
  </si>
  <si>
    <t>Bandara Juanda SBY - Screening</t>
  </si>
  <si>
    <t>Bandara Soeta - T3 - X-Ray</t>
  </si>
  <si>
    <t>GMF Bandara Soeta</t>
  </si>
  <si>
    <t>LIGHTING CONTROL - Bandara Kualanamu</t>
  </si>
  <si>
    <t>AOCC - BANDARA NGURAH RAI</t>
  </si>
  <si>
    <t>KPK I - ISS &amp; IBMS</t>
  </si>
  <si>
    <t>KPK II - DATA NETWORK &amp; DATA CENTER</t>
  </si>
  <si>
    <t>Divisi FSC</t>
  </si>
  <si>
    <t>Summitmas</t>
  </si>
  <si>
    <t>WTC 3 - Elektronic</t>
  </si>
  <si>
    <t>BICC</t>
  </si>
  <si>
    <t>MM Cileungsi - Elektrikal</t>
  </si>
  <si>
    <t>RSUD ULIN Tahap 2</t>
  </si>
  <si>
    <t xml:space="preserve">Service &amp; Maintenance </t>
  </si>
  <si>
    <t>Astra Daihatsu</t>
  </si>
  <si>
    <t>CO2 Daihatsu</t>
  </si>
  <si>
    <t>BCA</t>
  </si>
  <si>
    <t>PPLI</t>
  </si>
  <si>
    <t>AEON MALL</t>
  </si>
  <si>
    <t>SUMMITMAS</t>
  </si>
  <si>
    <t xml:space="preserve">EPSON </t>
  </si>
  <si>
    <t>MITSUBISHI</t>
  </si>
  <si>
    <t>LOT 5</t>
  </si>
  <si>
    <t>BRI</t>
  </si>
  <si>
    <t>Divisi ACR</t>
  </si>
  <si>
    <t>Indigo Bali</t>
  </si>
  <si>
    <t>MKG</t>
  </si>
  <si>
    <t>Cileungsi Mall</t>
  </si>
  <si>
    <t>Menara Kompas</t>
  </si>
  <si>
    <t>Jerman Center</t>
  </si>
  <si>
    <t>RS Dharmais</t>
  </si>
  <si>
    <t>Sadira Mall - Pekan Baru</t>
  </si>
  <si>
    <t>BI PUSAT</t>
  </si>
  <si>
    <t>SUCOFINDO</t>
  </si>
  <si>
    <t>PARK ROYAL</t>
  </si>
  <si>
    <t>DEPTAN</t>
  </si>
  <si>
    <t>TIM</t>
  </si>
  <si>
    <t>RSPP</t>
  </si>
  <si>
    <t>SANTIKA BALI</t>
  </si>
  <si>
    <t>Instalasi :</t>
  </si>
  <si>
    <t>APARTEMEN BEVERLY</t>
  </si>
  <si>
    <t>MENARA KOMPAS</t>
  </si>
  <si>
    <t>PERTIWI APARTEMEN</t>
  </si>
  <si>
    <t>CILEUNGSI MALL</t>
  </si>
  <si>
    <t>HARCO GLODOK</t>
  </si>
  <si>
    <t>Maintenance</t>
  </si>
  <si>
    <t>Grand Indonesia</t>
  </si>
  <si>
    <t>Sinar Mas - BSD</t>
  </si>
  <si>
    <t>Sinar Mas - Depok</t>
  </si>
  <si>
    <t>ITC PERMATA HIJAU</t>
  </si>
  <si>
    <t>RS DHARMAIS</t>
  </si>
  <si>
    <t>PERTAMINA</t>
  </si>
  <si>
    <t>PURI INDAH MALL</t>
  </si>
  <si>
    <t>PONDOK INDAH MALL</t>
  </si>
  <si>
    <t>PLUIT VILLAGE</t>
  </si>
  <si>
    <t>BINTARO PLAZA</t>
  </si>
  <si>
    <t>Divisi DCNP</t>
  </si>
  <si>
    <t>PHE</t>
  </si>
  <si>
    <t>Pusdatim Expansion</t>
  </si>
  <si>
    <t>Visionet UPH AC</t>
  </si>
  <si>
    <t xml:space="preserve">BP Berau </t>
  </si>
  <si>
    <t>Primacom - Relokasi DC</t>
  </si>
  <si>
    <t>Peremajaan PAC Mandiri Gatsu</t>
  </si>
  <si>
    <t>SI KERJA TAMBAH BANK MANDIRI</t>
  </si>
  <si>
    <t>TELKOM SIGMA</t>
  </si>
  <si>
    <t>Icon + Room B</t>
  </si>
  <si>
    <t>BENTOEL</t>
  </si>
  <si>
    <t>BTPN FASE II</t>
  </si>
  <si>
    <t xml:space="preserve">PGN II </t>
  </si>
  <si>
    <t>BIRO VERITAS</t>
  </si>
  <si>
    <t>BANK PERMATA BINTARO</t>
  </si>
  <si>
    <t>BRI TABANAN</t>
  </si>
  <si>
    <t>Divisi Elevator &amp; Escalator</t>
  </si>
  <si>
    <t>GRAND KAMALA LAGOON</t>
  </si>
  <si>
    <t>ERA MAKMUR</t>
  </si>
  <si>
    <t>KAMPUNG BALI</t>
  </si>
  <si>
    <t>MASJID AL-AZHAR</t>
  </si>
  <si>
    <t>PESANTREN RANCA MAYA</t>
  </si>
  <si>
    <t>HOTEL MAKASAR</t>
  </si>
  <si>
    <t>BIKE AHOLIC</t>
  </si>
  <si>
    <t>PURI ORCHAD</t>
  </si>
  <si>
    <t>HOTEL DADAP</t>
  </si>
  <si>
    <t>ROYAL PARK HOTEL SENTUL</t>
  </si>
  <si>
    <t>OFFICE ARTHA GADING</t>
  </si>
  <si>
    <t>IBIS CANDYLAND</t>
  </si>
  <si>
    <t>NEO ASTON - PONTIANAK</t>
  </si>
  <si>
    <t xml:space="preserve">VERANDA APARTEMEN </t>
  </si>
  <si>
    <t>Total</t>
  </si>
  <si>
    <t>UPDATE PER TANGGAL 31 JANUARI 2017</t>
  </si>
  <si>
    <t>ICT - TRANSPORTASI</t>
  </si>
  <si>
    <t>ICT - SERVICE</t>
  </si>
  <si>
    <t>ICT - SERVICE TRANSPORTASI</t>
  </si>
  <si>
    <t>ELEVATOR &amp; ESCALATOR-SERVICE</t>
  </si>
  <si>
    <t>PROJECT</t>
  </si>
  <si>
    <t>REGATTA - PANTAI MUTIARA - ELEKTRONIK</t>
  </si>
  <si>
    <t>APARTEMEN CHADSTONE</t>
  </si>
  <si>
    <t>UNAIR</t>
  </si>
  <si>
    <t>THE BREZZE</t>
  </si>
  <si>
    <t>SOUTH HILL</t>
  </si>
  <si>
    <t>SOPO DEL 10 LT</t>
  </si>
  <si>
    <t>BPJS</t>
  </si>
  <si>
    <t>SERVICE</t>
  </si>
  <si>
    <t>SLIPI JAYA</t>
  </si>
  <si>
    <t>SATRIO TOWER</t>
  </si>
  <si>
    <t>SENEN JAYA - ACB 120 Amph</t>
  </si>
  <si>
    <t>TPS SENEN BLOK 4</t>
  </si>
  <si>
    <t>TPS SENEN BLOK 5</t>
  </si>
  <si>
    <t>PINDODELI TM 15</t>
  </si>
  <si>
    <t xml:space="preserve">MATTEL </t>
  </si>
  <si>
    <t>PULO GEBANG</t>
  </si>
  <si>
    <t>DIVISI TICT</t>
  </si>
  <si>
    <t>BHS</t>
  </si>
  <si>
    <t>BANDARA BANJARMASIN</t>
  </si>
  <si>
    <t>INTEGRASI AIRPORT SECURITY (AOCC) T1-2</t>
  </si>
  <si>
    <t>BUS WASH - JAKONT</t>
  </si>
  <si>
    <t>BANDARA KERTAJATI</t>
  </si>
  <si>
    <t>MUSEUM NASIONAL</t>
  </si>
  <si>
    <t>RUSUN MARUNDA</t>
  </si>
  <si>
    <t>RUSUN SEMPER</t>
  </si>
  <si>
    <t>BODY SCANNER - T3</t>
  </si>
  <si>
    <t>DKI - VIDEO ANALYTICS</t>
  </si>
  <si>
    <t>DKI TRUNKING</t>
  </si>
  <si>
    <t>BHS SERVICE</t>
  </si>
  <si>
    <t>SOM - BANDARA KUALANAMU KERJA TAMBAH MP</t>
  </si>
  <si>
    <t>SOM - T3</t>
  </si>
  <si>
    <t>SOM KUALANAMU RTT</t>
  </si>
  <si>
    <t>CCTV SEPINGGAN</t>
  </si>
  <si>
    <t>SOM ELEKTRONIK T3</t>
  </si>
  <si>
    <t>TICT SERVICE</t>
  </si>
  <si>
    <t>DJP KLIP</t>
  </si>
  <si>
    <t>BEA CUKAI CALL CENTER</t>
  </si>
  <si>
    <t>VIDEO WALL - PERTAMINA BPN</t>
  </si>
  <si>
    <t>JET FAN - PERTAMINA CILACAP</t>
  </si>
  <si>
    <t>FIRE SUPRESION - PERTAMINA CILACAP</t>
  </si>
  <si>
    <t>FIRE SUPRESION - PERTAMINA BPN</t>
  </si>
  <si>
    <t>PUBLIC ADDRESS - PERTAMINA BPN</t>
  </si>
  <si>
    <t>DJP - MSC</t>
  </si>
  <si>
    <t>CCTV - PERTAMINA BPN</t>
  </si>
  <si>
    <t>ICON + - RECORDING</t>
  </si>
  <si>
    <t>MUAMALAT CALL CENTER</t>
  </si>
  <si>
    <t>BRI SDM ADD CALL CENTER</t>
  </si>
  <si>
    <t>GMF CALL CENTER</t>
  </si>
  <si>
    <t>BPD KALTIM CALL CENTER</t>
  </si>
  <si>
    <t>TICT TRADING</t>
  </si>
  <si>
    <t>TELKOMSEL - CCTV</t>
  </si>
  <si>
    <t>SINAR MAS CCTV</t>
  </si>
  <si>
    <t>PRIMATAMA - CCTV</t>
  </si>
  <si>
    <t>TELKOMSEL - IBMS</t>
  </si>
  <si>
    <t>AP 2 - CRM</t>
  </si>
  <si>
    <t>TELKOMSEL - CCTV - 1</t>
  </si>
  <si>
    <t>TELKOMSEL - CCTV - 2</t>
  </si>
  <si>
    <t>UNM - ELEKTRONIK</t>
  </si>
  <si>
    <t>TRADING</t>
  </si>
  <si>
    <t>NN100 RSUD  PANGKAL PINANG + FA</t>
  </si>
  <si>
    <t>NN100 KOMPAS</t>
  </si>
  <si>
    <t>BALI RAGA WISATA - POMPA</t>
  </si>
  <si>
    <t>MRT</t>
  </si>
  <si>
    <t>MORI BUILDING</t>
  </si>
  <si>
    <t>PULLMAN - POMPA</t>
  </si>
  <si>
    <t>CINERE TERAS SUITE - FA</t>
  </si>
  <si>
    <t>RSUD ULIN - FA</t>
  </si>
  <si>
    <t>H OPI - PALEMBANG</t>
  </si>
  <si>
    <t>PENANGGULANGAN BANJIR - JOGJA - POMPA</t>
  </si>
  <si>
    <t>BANDARA MINGAKABAU - SUMBAR - FA</t>
  </si>
  <si>
    <t>CARGO  SOETTA</t>
  </si>
  <si>
    <t xml:space="preserve">RUNWAY T3 </t>
  </si>
  <si>
    <t>TERMINAL 1 SOETTA</t>
  </si>
  <si>
    <t>ORANGE COUNTY TOWER G &amp; H</t>
  </si>
  <si>
    <t>EQUITY TOWER</t>
  </si>
  <si>
    <t>MAL PURI INDAH</t>
  </si>
  <si>
    <t>BNI TOWER</t>
  </si>
  <si>
    <t>HARD ROCK - BALI</t>
  </si>
  <si>
    <t>KEDUBES JEPANG</t>
  </si>
  <si>
    <t>TPB APARTEMEN</t>
  </si>
  <si>
    <t>DAIWA HOUSE</t>
  </si>
  <si>
    <t>AEON - DELTAMAS</t>
  </si>
  <si>
    <t>MID PLAZA</t>
  </si>
  <si>
    <t>JIMBARAN GREEN HILL</t>
  </si>
  <si>
    <t>ADM ENGINE PLANT</t>
  </si>
  <si>
    <t>EAST WEST SEED</t>
  </si>
  <si>
    <t>NOVOTEL TJ BENOA</t>
  </si>
  <si>
    <t>NOVOTEL NUSA DUA</t>
  </si>
  <si>
    <t>PULLMAN THAMRIN</t>
  </si>
  <si>
    <t>CERES</t>
  </si>
  <si>
    <t>THAMRIN NINE MANSION</t>
  </si>
  <si>
    <t>THAMRIN NINE TOWER I</t>
  </si>
  <si>
    <t>GRAND MADISON</t>
  </si>
  <si>
    <t>H SANTIKA - SUKABUMI</t>
  </si>
  <si>
    <t xml:space="preserve">HYATT ARYADUTA </t>
  </si>
  <si>
    <t>KEMANG RESIDENCE</t>
  </si>
  <si>
    <t>UN SURABAYA</t>
  </si>
  <si>
    <t>APART CORDOVA - SEMARANG</t>
  </si>
  <si>
    <t>AEON - SENTUL</t>
  </si>
  <si>
    <t>HOTEL - BANDAR LAMPUNG</t>
  </si>
  <si>
    <t>TAMAN ANGGREK RESIDENCES</t>
  </si>
  <si>
    <t>CYBER 1</t>
  </si>
  <si>
    <t>ADHI GRAHA</t>
  </si>
  <si>
    <t>APL MEDAN</t>
  </si>
  <si>
    <t>BI BALIKPAPAN</t>
  </si>
  <si>
    <t>CITILINK BANDUNG</t>
  </si>
  <si>
    <t>BORNEO BAY</t>
  </si>
  <si>
    <t>CITALAND</t>
  </si>
  <si>
    <t>KWK JAKTIM</t>
  </si>
  <si>
    <t>PULLMAN BOGOR</t>
  </si>
  <si>
    <t>BI GORONTALO</t>
  </si>
  <si>
    <t>CITRA TOWER</t>
  </si>
  <si>
    <t>CIBUBUR PLAZA</t>
  </si>
  <si>
    <t xml:space="preserve">PRINTEC </t>
  </si>
  <si>
    <t>ANZ SATRIO</t>
  </si>
  <si>
    <t>VERON FARMASI</t>
  </si>
  <si>
    <t>BI BANGKA BELITUNG</t>
  </si>
  <si>
    <t>BI PEKAN BARU</t>
  </si>
  <si>
    <t>GRAHA BIP</t>
  </si>
  <si>
    <t>JAMSOSTEK GATSU</t>
  </si>
  <si>
    <t>THAMRIN NINE - BASEMENT</t>
  </si>
  <si>
    <t>THAMRIN NINE - MANSION</t>
  </si>
  <si>
    <t>DELI MEDAN CHILLER PLAN</t>
  </si>
  <si>
    <t>METROPOLITAN MAL</t>
  </si>
  <si>
    <t>MAINTENANCE &amp; SOM</t>
  </si>
  <si>
    <t>BI LAMPUNG - ANNUAL SHUTDOWN</t>
  </si>
  <si>
    <t>KWK JAKUT</t>
  </si>
  <si>
    <t>LIPPO MAL PURI - MAINTENANCE</t>
  </si>
  <si>
    <t>LIPPO MAL PURI - ANNUAL SHUTDOWN</t>
  </si>
  <si>
    <t>BI TIPIKAL  - THAMRIN</t>
  </si>
  <si>
    <t>LOTTE MART - BEKASI JUNCTION</t>
  </si>
  <si>
    <t>ITC BSD</t>
  </si>
  <si>
    <t>MM BEKASI</t>
  </si>
  <si>
    <t>BRI - AC PRESISI</t>
  </si>
  <si>
    <t>PRIMACOM WISMA ASIA</t>
  </si>
  <si>
    <t>PANIN - UPS</t>
  </si>
  <si>
    <t>BSI - DATA CENTER</t>
  </si>
  <si>
    <t xml:space="preserve">EXIM INDONESIA </t>
  </si>
  <si>
    <t>GS LUANSA - UPS</t>
  </si>
  <si>
    <t>BNI - UPS</t>
  </si>
  <si>
    <t xml:space="preserve">SINAR MAS </t>
  </si>
  <si>
    <t>BRI - RAISED FLOOR</t>
  </si>
  <si>
    <t>AXA POWER AP 1 - BALI</t>
  </si>
  <si>
    <t>LINTAS ARTA RAK</t>
  </si>
  <si>
    <t>BSI - STABILIZER</t>
  </si>
  <si>
    <t>XL - AIR FILTER</t>
  </si>
  <si>
    <t>RSCM - BATTERE</t>
  </si>
  <si>
    <t>HUAWEI - RECTIFIRE</t>
  </si>
  <si>
    <t>BNI - BATTERE</t>
  </si>
  <si>
    <t>BRI RAGUNAN - BATTERE</t>
  </si>
  <si>
    <t>MUBADALA</t>
  </si>
  <si>
    <t xml:space="preserve">ELNUSA </t>
  </si>
  <si>
    <t>MY REPUBLIC</t>
  </si>
  <si>
    <t>SKK MIGAS</t>
  </si>
  <si>
    <t>PARAGON SEMARANG</t>
  </si>
  <si>
    <t>GREEN PARK JOGJA</t>
  </si>
  <si>
    <t>CENTRALLAND KERAWANG</t>
  </si>
  <si>
    <t>BEKASI CITY</t>
  </si>
  <si>
    <t>RUMAH MENTENG</t>
  </si>
  <si>
    <t>HOTEL DALU - SEMARANG</t>
  </si>
  <si>
    <t>APARTEMENT ALTON - SEMARANG</t>
  </si>
  <si>
    <t>APARTEMENT ALTON - SEMARANG - VRF</t>
  </si>
  <si>
    <t>QUEST HOTEL - JOGJA</t>
  </si>
  <si>
    <t>RSUD TIDAR - MAGELANG</t>
  </si>
  <si>
    <t>APARTEMENT - MAKASAR</t>
  </si>
  <si>
    <t>IBIS ARCADIA - UNIT</t>
  </si>
  <si>
    <t>BINTARO PAVILIUN</t>
  </si>
  <si>
    <t>HOTEL DAFAM - BOGOR</t>
  </si>
  <si>
    <t>BLOSSOM RESIDENCES - KEMAYORAN</t>
  </si>
  <si>
    <t>RSUD AMBON</t>
  </si>
  <si>
    <t>RSUD ACEH</t>
  </si>
  <si>
    <t>SHOWROOM LEXUS</t>
  </si>
  <si>
    <t>IBIS - JAMBI</t>
  </si>
  <si>
    <t>IBIS ARCADIA - MODERNISASI</t>
  </si>
  <si>
    <t>EPICENTRUM</t>
  </si>
  <si>
    <t>SEPHORA - PIK</t>
  </si>
  <si>
    <t>ETD AP I</t>
  </si>
  <si>
    <t>TELKOMSEL - ACCESS CARD</t>
  </si>
  <si>
    <t>REGATTA - FA</t>
  </si>
  <si>
    <t>BALI RAGA WISATA - GENSET</t>
  </si>
  <si>
    <t>JATILUHUR - POMPA</t>
  </si>
  <si>
    <t>PURI MANSION</t>
  </si>
  <si>
    <t>GAYANTI - ELEKTRONIK</t>
  </si>
  <si>
    <t>TELKOM</t>
  </si>
  <si>
    <t>TOKYU LAND - BSD</t>
  </si>
  <si>
    <t>SINAR MAS LAND THAMRIN</t>
  </si>
  <si>
    <t>TOKYU LAND - SIMATUPANG</t>
  </si>
  <si>
    <t>TERMINAL CARGO -  SOETTA</t>
  </si>
  <si>
    <t>CITALAND - FF</t>
  </si>
  <si>
    <t>SUDIRMAN 78 - FF</t>
  </si>
  <si>
    <t>KMP OFFICE</t>
  </si>
  <si>
    <t>FOUR SEASON / RAJAWALI PLACE</t>
  </si>
  <si>
    <t>SUDIRMAN 7,8</t>
  </si>
  <si>
    <t>GAYANTI</t>
  </si>
  <si>
    <t>ROXY MAS - SOM</t>
  </si>
  <si>
    <t>UIN JAKARTA</t>
  </si>
  <si>
    <t>Realisasi</t>
  </si>
  <si>
    <t>FSC - PROJECT</t>
  </si>
  <si>
    <t>2016</t>
  </si>
  <si>
    <t>Proyek Baru</t>
  </si>
  <si>
    <t>Backlog</t>
  </si>
  <si>
    <t>Proyek on</t>
  </si>
  <si>
    <t>Hand</t>
  </si>
  <si>
    <t>FSC - POMPA</t>
  </si>
  <si>
    <t>LAPORAN PROYEK ON HAND TAHUN 2017</t>
  </si>
  <si>
    <t>UPDATE PER TANGGAL 31 DESEMBER 2017</t>
  </si>
  <si>
    <t>FSC - XYLEM</t>
  </si>
  <si>
    <t>KONTRAKTING - AC</t>
  </si>
  <si>
    <t>KONTRAKTING - MEKANIKAL</t>
  </si>
  <si>
    <t>KONTRAKTING - ELEKTRIKAL</t>
  </si>
  <si>
    <t>KONTRAKTING - SOM</t>
  </si>
  <si>
    <t>ACR - SERVICE &amp; MAINTENANCE</t>
  </si>
  <si>
    <t>DCNP - SERVICE &amp; MAINTENANCE</t>
  </si>
  <si>
    <t>ICT - SERVICE &amp; MAINTENANCE</t>
  </si>
  <si>
    <t>FSC - SERVICE &amp; MAINTENANCE</t>
  </si>
  <si>
    <t>ACR - PROJECT</t>
  </si>
  <si>
    <t>A. Divisi Mekanikal &amp; Elektrikal</t>
  </si>
  <si>
    <t>B. Divisi AC &amp; Refrigeration</t>
  </si>
  <si>
    <t>C. Divisi Data Center &amp; N P</t>
  </si>
  <si>
    <t>F. Divisi Elevator &amp; Escalator</t>
  </si>
  <si>
    <t>E. Divisi Fire Safety &amp; Control</t>
  </si>
  <si>
    <t>D. Divisi TICT</t>
  </si>
  <si>
    <t xml:space="preserve">    Dirat Kontrakting</t>
  </si>
  <si>
    <t xml:space="preserve">    Dirat Trading</t>
  </si>
  <si>
    <t xml:space="preserve">    Dirat Service &amp; Maintenance</t>
  </si>
  <si>
    <t xml:space="preserve">    Dirat SOM</t>
  </si>
  <si>
    <t>2018</t>
  </si>
  <si>
    <t>Rencana</t>
  </si>
  <si>
    <t>LAPORAN PROYEK ON HAND TAHUN 2018</t>
  </si>
  <si>
    <t>s/d Des</t>
  </si>
  <si>
    <t>DCNP - KSTAR</t>
  </si>
  <si>
    <t>FSC - XYLEM SERVICE</t>
  </si>
  <si>
    <t>G. ANAK USAHA</t>
  </si>
  <si>
    <t>PT JAYA MULTI SARANA INDONESIA</t>
  </si>
  <si>
    <t xml:space="preserve">    Anak Usaha</t>
  </si>
  <si>
    <t>Proyek OH</t>
  </si>
  <si>
    <t>=</t>
  </si>
  <si>
    <t>2019</t>
  </si>
  <si>
    <t>UPDATE PER TANGGAL 31 DESEMBER 2019</t>
  </si>
  <si>
    <t>DCNP - KSTAR SERVICE &amp; MAINTENANCE</t>
  </si>
  <si>
    <t>ICT - TRANSPORTASI SOM</t>
  </si>
  <si>
    <t>Asumsi Kurs 1 USD = 14000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</si>
</sst>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0.000%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rgb="FFFF0000"/>
      <name val="Arial"/>
      <family val="2"/>
    </font>
    <font>
      <u/>
      <sz val="1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" fontId="1" fillId="0" borderId="0" applyFont="0" applyFill="0" applyBorder="0" applyAlignment="0" applyProtection="0"/>
  </cellStyleXfs>
  <cellXfs count="166">
    <xf numFmtId="0" fontId="0" fillId="0" borderId="0" xfId="0"/>
    <xf numFmtId="0" fontId="0" fillId="0" borderId="0" xfId="0" applyAlignment="1">
      <alignment horizontal="left"/>
    </xf>
    <xf numFmtId="164" fontId="0" fillId="0" borderId="0" xfId="2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7" fontId="0" fillId="0" borderId="0" xfId="0" applyNumberFormat="1"/>
    <xf numFmtId="14" fontId="2" fillId="0" borderId="2" xfId="1" applyNumberFormat="1" applyFont="1" applyBorder="1" applyAlignment="1">
      <alignment horizontal="center"/>
    </xf>
    <xf numFmtId="0" fontId="2" fillId="0" borderId="2" xfId="0" quotePrefix="1" applyFont="1" applyFill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2" xfId="0" applyBorder="1"/>
    <xf numFmtId="0" fontId="0" fillId="0" borderId="0" xfId="0" applyBorder="1"/>
    <xf numFmtId="166" fontId="0" fillId="0" borderId="2" xfId="1" applyNumberFormat="1" applyFont="1" applyBorder="1"/>
    <xf numFmtId="166" fontId="0" fillId="0" borderId="0" xfId="1" applyNumberFormat="1" applyFont="1" applyBorder="1"/>
    <xf numFmtId="9" fontId="0" fillId="0" borderId="0" xfId="3" applyFont="1"/>
    <xf numFmtId="164" fontId="0" fillId="0" borderId="0" xfId="0" applyNumberFormat="1"/>
    <xf numFmtId="0" fontId="1" fillId="0" borderId="2" xfId="0" applyFont="1" applyBorder="1"/>
    <xf numFmtId="166" fontId="2" fillId="0" borderId="4" xfId="1" applyNumberFormat="1" applyFont="1" applyBorder="1" applyAlignment="1">
      <alignment horizontal="center"/>
    </xf>
    <xf numFmtId="9" fontId="2" fillId="0" borderId="0" xfId="3" applyFont="1"/>
    <xf numFmtId="164" fontId="2" fillId="0" borderId="4" xfId="2" applyFont="1" applyBorder="1" applyAlignment="1">
      <alignment horizontal="center"/>
    </xf>
    <xf numFmtId="0" fontId="0" fillId="0" borderId="3" xfId="0" applyBorder="1"/>
    <xf numFmtId="9" fontId="2" fillId="0" borderId="3" xfId="3" applyFont="1" applyBorder="1"/>
    <xf numFmtId="166" fontId="0" fillId="0" borderId="0" xfId="0" applyNumberFormat="1" applyBorder="1"/>
    <xf numFmtId="166" fontId="2" fillId="0" borderId="0" xfId="0" applyNumberFormat="1" applyFont="1" applyBorder="1"/>
    <xf numFmtId="164" fontId="0" fillId="0" borderId="0" xfId="2" applyFont="1" applyBorder="1"/>
    <xf numFmtId="0" fontId="1" fillId="0" borderId="0" xfId="0" applyFont="1"/>
    <xf numFmtId="9" fontId="1" fillId="0" borderId="0" xfId="3" applyFont="1"/>
    <xf numFmtId="164" fontId="1" fillId="0" borderId="0" xfId="2" applyFont="1"/>
    <xf numFmtId="0" fontId="2" fillId="0" borderId="0" xfId="0" applyFont="1" applyAlignment="1">
      <alignment horizontal="center"/>
    </xf>
    <xf numFmtId="0" fontId="3" fillId="0" borderId="0" xfId="4" applyFont="1" applyFill="1" applyBorder="1" applyAlignment="1">
      <alignment vertical="top" wrapText="1"/>
    </xf>
    <xf numFmtId="3" fontId="2" fillId="0" borderId="0" xfId="5" applyNumberFormat="1" applyFont="1" applyFill="1" applyBorder="1" applyAlignment="1">
      <alignment vertical="top" wrapText="1"/>
    </xf>
    <xf numFmtId="3" fontId="2" fillId="0" borderId="0" xfId="5" applyNumberFormat="1" applyFont="1" applyFill="1" applyBorder="1" applyAlignment="1">
      <alignment vertical="top"/>
    </xf>
    <xf numFmtId="3" fontId="2" fillId="0" borderId="0" xfId="5" quotePrefix="1" applyNumberFormat="1" applyFont="1" applyFill="1" applyBorder="1" applyAlignment="1">
      <alignment vertical="top"/>
    </xf>
    <xf numFmtId="0" fontId="1" fillId="0" borderId="0" xfId="0" applyFont="1" applyBorder="1"/>
    <xf numFmtId="164" fontId="1" fillId="0" borderId="0" xfId="2" applyFont="1" applyBorder="1"/>
    <xf numFmtId="0" fontId="1" fillId="0" borderId="0" xfId="4" applyFont="1" applyFill="1" applyBorder="1" applyAlignment="1">
      <alignment horizontal="left" vertical="top" wrapText="1" indent="1"/>
    </xf>
    <xf numFmtId="164" fontId="1" fillId="0" borderId="0" xfId="5" applyNumberFormat="1" applyFont="1" applyFill="1" applyBorder="1" applyAlignment="1">
      <alignment vertical="top" wrapText="1"/>
    </xf>
    <xf numFmtId="164" fontId="1" fillId="0" borderId="0" xfId="5" quotePrefix="1" applyNumberFormat="1" applyFont="1" applyFill="1" applyBorder="1" applyAlignment="1">
      <alignment vertical="top"/>
    </xf>
    <xf numFmtId="0" fontId="1" fillId="2" borderId="0" xfId="4" applyFont="1" applyFill="1" applyBorder="1" applyAlignment="1">
      <alignment horizontal="left" vertical="top" wrapText="1" indent="1"/>
    </xf>
    <xf numFmtId="0" fontId="1" fillId="2" borderId="0" xfId="0" applyFont="1" applyFill="1" applyBorder="1"/>
    <xf numFmtId="164" fontId="1" fillId="2" borderId="0" xfId="5" applyNumberFormat="1" applyFont="1" applyFill="1" applyBorder="1" applyAlignment="1">
      <alignment vertical="top" wrapText="1"/>
    </xf>
    <xf numFmtId="164" fontId="1" fillId="2" borderId="0" xfId="5" quotePrefix="1" applyNumberFormat="1" applyFont="1" applyFill="1" applyBorder="1" applyAlignment="1">
      <alignment vertical="top"/>
    </xf>
    <xf numFmtId="164" fontId="1" fillId="2" borderId="0" xfId="2" applyFont="1" applyFill="1" applyBorder="1" applyAlignment="1">
      <alignment vertical="top" wrapText="1"/>
    </xf>
    <xf numFmtId="164" fontId="1" fillId="2" borderId="0" xfId="2" applyFont="1" applyFill="1" applyBorder="1"/>
    <xf numFmtId="0" fontId="1" fillId="0" borderId="0" xfId="4" applyFont="1" applyFill="1" applyBorder="1" applyAlignment="1">
      <alignment vertical="top" wrapText="1"/>
    </xf>
    <xf numFmtId="164" fontId="2" fillId="0" borderId="5" xfId="5" applyNumberFormat="1" applyFont="1" applyFill="1" applyBorder="1" applyAlignment="1">
      <alignment vertical="top" wrapText="1"/>
    </xf>
    <xf numFmtId="164" fontId="2" fillId="0" borderId="5" xfId="5" quotePrefix="1" applyNumberFormat="1" applyFont="1" applyFill="1" applyBorder="1" applyAlignment="1">
      <alignment vertical="top"/>
    </xf>
    <xf numFmtId="9" fontId="2" fillId="0" borderId="0" xfId="5" quotePrefix="1" applyNumberFormat="1" applyFont="1" applyFill="1" applyBorder="1" applyAlignment="1">
      <alignment vertical="top"/>
    </xf>
    <xf numFmtId="164" fontId="2" fillId="0" borderId="0" xfId="5" quotePrefix="1" applyNumberFormat="1" applyFont="1" applyFill="1" applyBorder="1" applyAlignment="1">
      <alignment vertical="top"/>
    </xf>
    <xf numFmtId="164" fontId="2" fillId="2" borderId="5" xfId="5" applyNumberFormat="1" applyFont="1" applyFill="1" applyBorder="1" applyAlignment="1">
      <alignment vertical="top" wrapText="1"/>
    </xf>
    <xf numFmtId="9" fontId="1" fillId="0" borderId="0" xfId="2" applyNumberFormat="1" applyFont="1" applyBorder="1"/>
    <xf numFmtId="164" fontId="2" fillId="0" borderId="0" xfId="5" applyNumberFormat="1" applyFont="1" applyFill="1" applyBorder="1" applyAlignment="1">
      <alignment vertical="top" wrapText="1"/>
    </xf>
    <xf numFmtId="164" fontId="1" fillId="0" borderId="0" xfId="5" applyNumberFormat="1" applyFont="1" applyFill="1" applyBorder="1" applyAlignment="1">
      <alignment vertical="top"/>
    </xf>
    <xf numFmtId="164" fontId="1" fillId="0" borderId="0" xfId="5" applyNumberFormat="1" applyFont="1" applyFill="1" applyBorder="1" applyAlignment="1">
      <alignment vertical="center"/>
    </xf>
    <xf numFmtId="0" fontId="1" fillId="0" borderId="0" xfId="0" applyFont="1" applyFill="1" applyBorder="1"/>
    <xf numFmtId="164" fontId="1" fillId="0" borderId="0" xfId="2" applyFont="1" applyFill="1" applyBorder="1"/>
    <xf numFmtId="164" fontId="1" fillId="0" borderId="0" xfId="0" applyNumberFormat="1" applyFont="1" applyFill="1" applyBorder="1"/>
    <xf numFmtId="164" fontId="2" fillId="0" borderId="5" xfId="5" applyNumberFormat="1" applyFont="1" applyFill="1" applyBorder="1" applyAlignment="1">
      <alignment vertical="top"/>
    </xf>
    <xf numFmtId="164" fontId="2" fillId="2" borderId="5" xfId="5" applyNumberFormat="1" applyFont="1" applyFill="1" applyBorder="1" applyAlignment="1">
      <alignment vertical="top"/>
    </xf>
    <xf numFmtId="164" fontId="2" fillId="0" borderId="0" xfId="5" applyNumberFormat="1" applyFont="1" applyFill="1" applyBorder="1" applyAlignment="1">
      <alignment vertical="top"/>
    </xf>
    <xf numFmtId="164" fontId="0" fillId="0" borderId="0" xfId="2" applyFont="1" applyFill="1" applyBorder="1"/>
    <xf numFmtId="0" fontId="0" fillId="0" borderId="0" xfId="0" applyFill="1" applyBorder="1"/>
    <xf numFmtId="164" fontId="1" fillId="2" borderId="0" xfId="5" applyNumberFormat="1" applyFont="1" applyFill="1" applyBorder="1" applyAlignment="1">
      <alignment vertical="top"/>
    </xf>
    <xf numFmtId="0" fontId="2" fillId="0" borderId="0" xfId="4" applyFont="1" applyFill="1" applyBorder="1" applyAlignment="1">
      <alignment horizontal="left" vertical="top" wrapText="1" indent="1"/>
    </xf>
    <xf numFmtId="164" fontId="1" fillId="3" borderId="0" xfId="5" applyNumberFormat="1" applyFont="1" applyFill="1" applyBorder="1" applyAlignment="1">
      <alignment vertical="top"/>
    </xf>
    <xf numFmtId="0" fontId="2" fillId="0" borderId="0" xfId="4" applyFont="1" applyFill="1" applyBorder="1" applyAlignment="1">
      <alignment vertical="top" wrapText="1"/>
    </xf>
    <xf numFmtId="164" fontId="2" fillId="0" borderId="6" xfId="5" applyNumberFormat="1" applyFont="1" applyFill="1" applyBorder="1" applyAlignment="1">
      <alignment vertical="top"/>
    </xf>
    <xf numFmtId="164" fontId="2" fillId="2" borderId="6" xfId="5" applyNumberFormat="1" applyFont="1" applyFill="1" applyBorder="1" applyAlignment="1">
      <alignment vertical="top"/>
    </xf>
    <xf numFmtId="164" fontId="0" fillId="0" borderId="0" xfId="0" applyNumberFormat="1" applyBorder="1"/>
    <xf numFmtId="166" fontId="0" fillId="0" borderId="0" xfId="0" applyNumberFormat="1"/>
    <xf numFmtId="166" fontId="4" fillId="0" borderId="0" xfId="0" applyNumberFormat="1" applyFont="1"/>
    <xf numFmtId="9" fontId="4" fillId="0" borderId="0" xfId="3" applyFont="1"/>
    <xf numFmtId="10" fontId="0" fillId="0" borderId="0" xfId="3" applyNumberFormat="1" applyFont="1"/>
    <xf numFmtId="9" fontId="1" fillId="0" borderId="0" xfId="3" applyFont="1" applyBorder="1"/>
    <xf numFmtId="9" fontId="1" fillId="2" borderId="0" xfId="3" applyFont="1" applyFill="1" applyBorder="1"/>
    <xf numFmtId="9" fontId="1" fillId="0" borderId="0" xfId="3" applyFont="1" applyFill="1" applyBorder="1"/>
    <xf numFmtId="0" fontId="5" fillId="0" borderId="0" xfId="4" applyFont="1" applyFill="1" applyBorder="1" applyAlignment="1">
      <alignment wrapText="1"/>
    </xf>
    <xf numFmtId="164" fontId="1" fillId="0" borderId="0" xfId="0" applyNumberFormat="1" applyFont="1" applyBorder="1"/>
    <xf numFmtId="164" fontId="4" fillId="0" borderId="0" xfId="5" applyNumberFormat="1" applyFont="1" applyFill="1" applyBorder="1" applyAlignment="1">
      <alignment vertical="top"/>
    </xf>
    <xf numFmtId="164" fontId="4" fillId="0" borderId="0" xfId="5" quotePrefix="1" applyNumberFormat="1" applyFont="1" applyFill="1" applyBorder="1" applyAlignment="1">
      <alignment vertical="top"/>
    </xf>
    <xf numFmtId="164" fontId="4" fillId="0" borderId="0" xfId="2" applyFont="1" applyFill="1" applyBorder="1"/>
    <xf numFmtId="0" fontId="4" fillId="0" borderId="0" xfId="0" applyFont="1" applyFill="1" applyBorder="1"/>
    <xf numFmtId="9" fontId="4" fillId="0" borderId="0" xfId="3" applyFont="1" applyFill="1" applyBorder="1"/>
    <xf numFmtId="0" fontId="5" fillId="0" borderId="0" xfId="4" applyFont="1" applyFill="1" applyBorder="1" applyAlignment="1">
      <alignment vertical="top" wrapText="1"/>
    </xf>
    <xf numFmtId="0" fontId="3" fillId="0" borderId="0" xfId="4" applyFont="1" applyFill="1" applyBorder="1" applyAlignment="1">
      <alignment horizontal="left" wrapText="1"/>
    </xf>
    <xf numFmtId="0" fontId="3" fillId="0" borderId="0" xfId="4" applyFont="1" applyFill="1" applyBorder="1" applyAlignment="1">
      <alignment horizontal="left" vertical="top" wrapText="1"/>
    </xf>
    <xf numFmtId="0" fontId="0" fillId="2" borderId="0" xfId="0" applyFill="1" applyBorder="1"/>
    <xf numFmtId="164" fontId="0" fillId="2" borderId="0" xfId="2" applyFont="1" applyFill="1" applyBorder="1"/>
    <xf numFmtId="9" fontId="0" fillId="2" borderId="0" xfId="3" applyFont="1" applyFill="1" applyBorder="1"/>
    <xf numFmtId="9" fontId="0" fillId="0" borderId="0" xfId="3" applyFont="1" applyFill="1" applyBorder="1"/>
    <xf numFmtId="9" fontId="0" fillId="0" borderId="0" xfId="3" applyFont="1" applyBorder="1"/>
    <xf numFmtId="164" fontId="1" fillId="0" borderId="0" xfId="5" applyNumberFormat="1" applyFont="1" applyFill="1" applyBorder="1" applyAlignment="1">
      <alignment horizontal="left" vertical="center"/>
    </xf>
    <xf numFmtId="164" fontId="2" fillId="0" borderId="5" xfId="2" applyFont="1" applyFill="1" applyBorder="1" applyAlignment="1">
      <alignment vertical="top" wrapText="1"/>
    </xf>
    <xf numFmtId="0" fontId="1" fillId="3" borderId="0" xfId="4" applyFont="1" applyFill="1" applyBorder="1" applyAlignment="1">
      <alignment horizontal="left" vertical="top" wrapText="1" indent="1"/>
    </xf>
    <xf numFmtId="164" fontId="1" fillId="3" borderId="0" xfId="5" applyNumberFormat="1" applyFont="1" applyFill="1" applyBorder="1" applyAlignment="1">
      <alignment vertical="top" wrapText="1"/>
    </xf>
    <xf numFmtId="164" fontId="1" fillId="3" borderId="0" xfId="5" quotePrefix="1" applyNumberFormat="1" applyFont="1" applyFill="1" applyBorder="1" applyAlignment="1">
      <alignment vertical="top"/>
    </xf>
    <xf numFmtId="164" fontId="1" fillId="3" borderId="0" xfId="2" applyFont="1" applyFill="1" applyBorder="1"/>
    <xf numFmtId="0" fontId="1" fillId="3" borderId="0" xfId="0" applyFont="1" applyFill="1" applyBorder="1"/>
    <xf numFmtId="9" fontId="1" fillId="3" borderId="0" xfId="3" applyFont="1" applyFill="1" applyBorder="1"/>
    <xf numFmtId="0" fontId="0" fillId="3" borderId="0" xfId="0" applyFill="1" applyBorder="1"/>
    <xf numFmtId="164" fontId="0" fillId="3" borderId="0" xfId="2" applyFont="1" applyFill="1" applyBorder="1"/>
    <xf numFmtId="9" fontId="0" fillId="3" borderId="0" xfId="3" applyFont="1" applyFill="1" applyBorder="1"/>
    <xf numFmtId="164" fontId="2" fillId="2" borderId="0" xfId="5" quotePrefix="1" applyNumberFormat="1" applyFont="1" applyFill="1" applyBorder="1" applyAlignment="1">
      <alignment vertical="top"/>
    </xf>
    <xf numFmtId="0" fontId="4" fillId="0" borderId="0" xfId="4" applyFont="1" applyFill="1" applyBorder="1" applyAlignment="1">
      <alignment horizontal="left" vertical="top" wrapText="1" indent="1"/>
    </xf>
    <xf numFmtId="164" fontId="4" fillId="0" borderId="0" xfId="5" applyNumberFormat="1" applyFont="1" applyFill="1" applyBorder="1" applyAlignment="1">
      <alignment vertical="top" wrapText="1"/>
    </xf>
    <xf numFmtId="0" fontId="4" fillId="0" borderId="0" xfId="0" applyFont="1" applyBorder="1"/>
    <xf numFmtId="164" fontId="4" fillId="0" borderId="0" xfId="2" applyFont="1" applyBorder="1"/>
    <xf numFmtId="9" fontId="4" fillId="0" borderId="0" xfId="3" applyFont="1" applyBorder="1"/>
    <xf numFmtId="164" fontId="6" fillId="0" borderId="0" xfId="5" quotePrefix="1" applyNumberFormat="1" applyFont="1" applyFill="1" applyBorder="1" applyAlignment="1">
      <alignment vertical="top"/>
    </xf>
    <xf numFmtId="166" fontId="1" fillId="0" borderId="0" xfId="0" applyNumberFormat="1" applyFont="1"/>
    <xf numFmtId="14" fontId="2" fillId="0" borderId="2" xfId="1" quotePrefix="1" applyNumberFormat="1" applyFont="1" applyBorder="1" applyAlignment="1">
      <alignment horizontal="center"/>
    </xf>
    <xf numFmtId="0" fontId="2" fillId="0" borderId="3" xfId="0" quotePrefix="1" applyFont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167" fontId="1" fillId="0" borderId="0" xfId="3" applyNumberFormat="1" applyFont="1"/>
    <xf numFmtId="9" fontId="2" fillId="0" borderId="0" xfId="3" applyFont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0" fontId="0" fillId="0" borderId="2" xfId="0" applyFill="1" applyBorder="1"/>
    <xf numFmtId="166" fontId="0" fillId="0" borderId="2" xfId="1" applyNumberFormat="1" applyFont="1" applyFill="1" applyBorder="1"/>
    <xf numFmtId="166" fontId="0" fillId="0" borderId="0" xfId="1" applyNumberFormat="1" applyFont="1" applyFill="1" applyBorder="1"/>
    <xf numFmtId="9" fontId="0" fillId="0" borderId="0" xfId="3" applyFont="1" applyFill="1"/>
    <xf numFmtId="164" fontId="0" fillId="0" borderId="0" xfId="0" applyNumberFormat="1" applyFill="1"/>
    <xf numFmtId="164" fontId="0" fillId="0" borderId="0" xfId="2" applyFont="1" applyFill="1"/>
    <xf numFmtId="166" fontId="0" fillId="0" borderId="0" xfId="0" applyNumberFormat="1" applyFill="1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166" fontId="0" fillId="0" borderId="0" xfId="1" applyNumberFormat="1" applyFont="1"/>
    <xf numFmtId="166" fontId="1" fillId="0" borderId="0" xfId="1" applyNumberFormat="1" applyFont="1"/>
    <xf numFmtId="166" fontId="1" fillId="0" borderId="0" xfId="1" applyNumberFormat="1" applyFont="1" applyBorder="1"/>
    <xf numFmtId="166" fontId="1" fillId="2" borderId="0" xfId="1" applyNumberFormat="1" applyFont="1" applyFill="1" applyBorder="1"/>
    <xf numFmtId="166" fontId="1" fillId="0" borderId="0" xfId="1" applyNumberFormat="1" applyFont="1" applyFill="1" applyBorder="1"/>
    <xf numFmtId="0" fontId="0" fillId="0" borderId="0" xfId="0" applyAlignment="1">
      <alignment horizontal="left"/>
    </xf>
    <xf numFmtId="0" fontId="2" fillId="4" borderId="1" xfId="0" applyFont="1" applyFill="1" applyBorder="1"/>
    <xf numFmtId="0" fontId="2" fillId="4" borderId="1" xfId="0" applyFont="1" applyFill="1" applyBorder="1" applyAlignment="1">
      <alignment horizontal="center"/>
    </xf>
    <xf numFmtId="166" fontId="2" fillId="4" borderId="1" xfId="1" applyNumberFormat="1" applyFont="1" applyFill="1" applyBorder="1"/>
    <xf numFmtId="0" fontId="2" fillId="4" borderId="2" xfId="0" applyFont="1" applyFill="1" applyBorder="1" applyAlignment="1">
      <alignment horizontal="center"/>
    </xf>
    <xf numFmtId="166" fontId="2" fillId="4" borderId="2" xfId="0" applyNumberFormat="1" applyFont="1" applyFill="1" applyBorder="1" applyAlignment="1">
      <alignment horizontal="center"/>
    </xf>
    <xf numFmtId="14" fontId="2" fillId="4" borderId="2" xfId="1" quotePrefix="1" applyNumberFormat="1" applyFont="1" applyFill="1" applyBorder="1" applyAlignment="1">
      <alignment horizontal="center"/>
    </xf>
    <xf numFmtId="166" fontId="2" fillId="4" borderId="2" xfId="1" applyNumberFormat="1" applyFont="1" applyFill="1" applyBorder="1" applyAlignment="1">
      <alignment horizontal="center"/>
    </xf>
    <xf numFmtId="0" fontId="2" fillId="4" borderId="3" xfId="0" applyFont="1" applyFill="1" applyBorder="1"/>
    <xf numFmtId="0" fontId="2" fillId="4" borderId="3" xfId="0" applyFont="1" applyFill="1" applyBorder="1" applyAlignment="1">
      <alignment horizontal="center"/>
    </xf>
    <xf numFmtId="14" fontId="2" fillId="4" borderId="3" xfId="0" applyNumberFormat="1" applyFont="1" applyFill="1" applyBorder="1" applyAlignment="1">
      <alignment horizontal="center"/>
    </xf>
    <xf numFmtId="0" fontId="2" fillId="4" borderId="3" xfId="0" quotePrefix="1" applyFont="1" applyFill="1" applyBorder="1" applyAlignment="1">
      <alignment horizontal="center"/>
    </xf>
    <xf numFmtId="166" fontId="2" fillId="4" borderId="3" xfId="1" quotePrefix="1" applyNumberFormat="1" applyFont="1" applyFill="1" applyBorder="1" applyAlignment="1">
      <alignment horizontal="center"/>
    </xf>
    <xf numFmtId="0" fontId="2" fillId="4" borderId="2" xfId="0" applyFont="1" applyFill="1" applyBorder="1"/>
    <xf numFmtId="166" fontId="2" fillId="4" borderId="2" xfId="0" applyNumberFormat="1" applyFont="1" applyFill="1" applyBorder="1"/>
    <xf numFmtId="166" fontId="2" fillId="4" borderId="2" xfId="1" applyNumberFormat="1" applyFont="1" applyFill="1" applyBorder="1"/>
    <xf numFmtId="0" fontId="1" fillId="4" borderId="2" xfId="0" applyFont="1" applyFill="1" applyBorder="1"/>
    <xf numFmtId="166" fontId="0" fillId="4" borderId="2" xfId="1" applyNumberFormat="1" applyFont="1" applyFill="1" applyBorder="1"/>
    <xf numFmtId="166" fontId="0" fillId="4" borderId="8" xfId="1" applyNumberFormat="1" applyFont="1" applyFill="1" applyBorder="1"/>
    <xf numFmtId="0" fontId="0" fillId="4" borderId="2" xfId="0" applyFill="1" applyBorder="1"/>
    <xf numFmtId="166" fontId="2" fillId="4" borderId="4" xfId="1" applyNumberFormat="1" applyFont="1" applyFill="1" applyBorder="1" applyAlignment="1">
      <alignment horizontal="center"/>
    </xf>
    <xf numFmtId="0" fontId="0" fillId="4" borderId="3" xfId="0" applyFill="1" applyBorder="1"/>
    <xf numFmtId="9" fontId="2" fillId="4" borderId="3" xfId="3" applyFont="1" applyFill="1" applyBorder="1"/>
    <xf numFmtId="166" fontId="2" fillId="4" borderId="3" xfId="1" applyNumberFormat="1" applyFont="1" applyFill="1" applyBorder="1"/>
    <xf numFmtId="0" fontId="0" fillId="0" borderId="0" xfId="0" applyAlignment="1">
      <alignment horizontal="left"/>
    </xf>
    <xf numFmtId="166" fontId="2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</cellXfs>
  <cellStyles count="6">
    <cellStyle name="Comma" xfId="1" builtinId="3"/>
    <cellStyle name="Comma [0]" xfId="2" builtinId="6"/>
    <cellStyle name="Comma_Ikhtisar Keuangan_1" xfId="5"/>
    <cellStyle name="Normal" xfId="0" builtinId="0"/>
    <cellStyle name="Normal_Book2" xfId="4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%20WULAN/JMP/PROJECT%20ON%20HAND/BACKLOG%20RAKOM/DATA%20WULAN/JMP/MOVING%20AVERAGE/summary%20&amp;%20ws/Worksheet%20Lapkeu%201218%20konsol_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orksheet%20Lapkeu%201219%20konsol%20rev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%20WULAN/JMP/PROJECT%20ON%20HAND/BACKLOG%20RAKOM/DATA%20WULAN/JMP/PROJECT%20ON%20HAND/Lap.%20Project%20on%20hand_2017/Proyekonhand_Jan_0117(Rev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%20WULAN/JMP/PROJECT%20ON%20HAND/BACKLOG%20RAKOM/DATA%20WULAN/JMP/PROJECT%20ON%20HAND/Lap.%20Project%20on%20hand_2016/Proyekonhand_Des%202016(Rev%20Segmen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Recovered_Sheet1"/>
      <sheetName val="AJE"/>
      <sheetName val="Eliminasi"/>
      <sheetName val="NERACA"/>
      <sheetName val="laba rugi akumulated"/>
      <sheetName val="TB1218"/>
      <sheetName val="TB10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1">
          <cell r="I11">
            <v>944330.94070856844</v>
          </cell>
        </row>
      </sheetData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Recovered_Sheet1"/>
      <sheetName val="AJE"/>
      <sheetName val="Eliminasi"/>
      <sheetName val="Sheet1"/>
      <sheetName val="NERACA"/>
      <sheetName val="laba rugi akumulated"/>
      <sheetName val="TB1218"/>
      <sheetName val="TB1018"/>
    </sheetNames>
    <sheetDataSet>
      <sheetData sheetId="0"/>
      <sheetData sheetId="1"/>
      <sheetData sheetId="2"/>
      <sheetData sheetId="3"/>
      <sheetData sheetId="4"/>
      <sheetData sheetId="5"/>
      <sheetData sheetId="6">
        <row r="12">
          <cell r="I12">
            <v>654081624502.54895</v>
          </cell>
        </row>
      </sheetData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ME-AC"/>
      <sheetName val="ME-Mek"/>
      <sheetName val="ME-Elek"/>
      <sheetName val="ME-SOM"/>
      <sheetName val="ACR-TRADING"/>
      <sheetName val="ACR-PROJECT"/>
      <sheetName val="ACR-S&amp;M"/>
      <sheetName val="ACR-SOM"/>
      <sheetName val="DCNP-TRD"/>
      <sheetName val="DCNP-S&amp;M"/>
      <sheetName val="FSC-TRD"/>
      <sheetName val="FSC-S&amp;M"/>
      <sheetName val="FSC-MEK"/>
      <sheetName val="ICT-TRD"/>
      <sheetName val="ICT TRANSPORTASI"/>
      <sheetName val="ICT SERVICE"/>
      <sheetName val="ICT SERV TRANS"/>
      <sheetName val="ICT - SOM"/>
      <sheetName val="Lift"/>
      <sheetName val="Lift Service"/>
      <sheetName val="segmen"/>
    </sheetNames>
    <sheetDataSet>
      <sheetData sheetId="0"/>
      <sheetData sheetId="1">
        <row r="11">
          <cell r="I11">
            <v>0</v>
          </cell>
          <cell r="J11">
            <v>0</v>
          </cell>
          <cell r="L11">
            <v>0</v>
          </cell>
          <cell r="M11">
            <v>0</v>
          </cell>
        </row>
      </sheetData>
      <sheetData sheetId="2">
        <row r="35">
          <cell r="I35">
            <v>52063123017.320206</v>
          </cell>
          <cell r="J35">
            <v>0</v>
          </cell>
          <cell r="K35">
            <v>52063123017.320206</v>
          </cell>
          <cell r="L35">
            <v>21178138362</v>
          </cell>
          <cell r="M35">
            <v>26491715575.845203</v>
          </cell>
          <cell r="R35">
            <v>0</v>
          </cell>
        </row>
      </sheetData>
      <sheetData sheetId="3">
        <row r="26">
          <cell r="I26">
            <v>69273046955.056702</v>
          </cell>
          <cell r="J26">
            <v>0</v>
          </cell>
          <cell r="K26">
            <v>69273046955.056702</v>
          </cell>
          <cell r="L26">
            <v>53686457387.040695</v>
          </cell>
          <cell r="M26">
            <v>15586589568.016014</v>
          </cell>
          <cell r="R26">
            <v>0</v>
          </cell>
        </row>
      </sheetData>
      <sheetData sheetId="4">
        <row r="15">
          <cell r="I15">
            <v>4942754799</v>
          </cell>
          <cell r="J15">
            <v>800000000</v>
          </cell>
          <cell r="K15">
            <v>5742754799</v>
          </cell>
          <cell r="L15">
            <v>328180000</v>
          </cell>
          <cell r="M15">
            <v>4614574799</v>
          </cell>
        </row>
      </sheetData>
      <sheetData sheetId="5">
        <row r="49">
          <cell r="I49">
            <v>31129715135.739227</v>
          </cell>
          <cell r="J49">
            <v>11607000000</v>
          </cell>
        </row>
      </sheetData>
      <sheetData sheetId="6">
        <row r="28">
          <cell r="I28">
            <v>171655971958.1351</v>
          </cell>
          <cell r="J28">
            <v>2681818181.8099999</v>
          </cell>
        </row>
      </sheetData>
      <sheetData sheetId="7">
        <row r="114">
          <cell r="I114">
            <v>14437329289.146866</v>
          </cell>
          <cell r="J114">
            <v>2289852756.27</v>
          </cell>
          <cell r="L114">
            <v>2528439815.6700001</v>
          </cell>
          <cell r="M114">
            <v>13634891729.746866</v>
          </cell>
          <cell r="R114">
            <v>0</v>
          </cell>
        </row>
      </sheetData>
      <sheetData sheetId="8">
        <row r="24">
          <cell r="I24">
            <v>26356787774.226665</v>
          </cell>
          <cell r="J24">
            <v>7749360720</v>
          </cell>
          <cell r="R24">
            <v>0</v>
          </cell>
        </row>
      </sheetData>
      <sheetData sheetId="9">
        <row r="22">
          <cell r="I22">
            <v>11169166854</v>
          </cell>
          <cell r="J22">
            <v>1432187500.28</v>
          </cell>
          <cell r="L22">
            <v>9289980401.3999996</v>
          </cell>
          <cell r="M22">
            <v>2805373952.8800001</v>
          </cell>
          <cell r="N22">
            <v>4085513469.5999999</v>
          </cell>
        </row>
      </sheetData>
      <sheetData sheetId="10">
        <row r="118">
          <cell r="I118">
            <v>19768595244.122398</v>
          </cell>
          <cell r="J118">
            <v>2514623239</v>
          </cell>
          <cell r="L118">
            <v>294417095.25999999</v>
          </cell>
          <cell r="M118">
            <v>16035366273.862398</v>
          </cell>
          <cell r="R118">
            <v>0</v>
          </cell>
        </row>
      </sheetData>
      <sheetData sheetId="11">
        <row r="41">
          <cell r="I41">
            <v>38453012204.350044</v>
          </cell>
          <cell r="J41">
            <v>312068925</v>
          </cell>
          <cell r="L41">
            <v>4696977192.287961</v>
          </cell>
          <cell r="M41">
            <v>28221710181.483948</v>
          </cell>
          <cell r="N41">
            <v>550014535.16472006</v>
          </cell>
        </row>
      </sheetData>
      <sheetData sheetId="12">
        <row r="323">
          <cell r="I323">
            <v>17616137697.071518</v>
          </cell>
          <cell r="J323">
            <v>1430234810</v>
          </cell>
          <cell r="L323" t="e">
            <v>#N/A</v>
          </cell>
          <cell r="M323" t="e">
            <v>#N/A</v>
          </cell>
        </row>
      </sheetData>
      <sheetData sheetId="13">
        <row r="12">
          <cell r="I12">
            <v>12985258212.818027</v>
          </cell>
          <cell r="J12">
            <v>0</v>
          </cell>
          <cell r="K12">
            <v>12985258212.818027</v>
          </cell>
        </row>
      </sheetData>
      <sheetData sheetId="14">
        <row r="14">
          <cell r="I14">
            <v>6308000000</v>
          </cell>
          <cell r="J14">
            <v>0</v>
          </cell>
          <cell r="L14">
            <v>898083437.84000003</v>
          </cell>
          <cell r="M14">
            <v>5409916562.1599998</v>
          </cell>
          <cell r="N14">
            <v>282216668</v>
          </cell>
          <cell r="R14">
            <v>0</v>
          </cell>
        </row>
      </sheetData>
      <sheetData sheetId="15">
        <row r="28">
          <cell r="I28">
            <v>156148787661.51999</v>
          </cell>
          <cell r="J28">
            <v>11580033345</v>
          </cell>
        </row>
      </sheetData>
      <sheetData sheetId="16">
        <row r="38">
          <cell r="I38">
            <v>10097853871.825834</v>
          </cell>
          <cell r="J38">
            <v>367764511</v>
          </cell>
          <cell r="L38">
            <v>642372324.39999998</v>
          </cell>
          <cell r="M38">
            <v>9823246058.4258347</v>
          </cell>
          <cell r="R38">
            <v>-103317511</v>
          </cell>
        </row>
      </sheetData>
      <sheetData sheetId="17">
        <row r="21">
          <cell r="I21">
            <v>32717344823.645</v>
          </cell>
          <cell r="J21">
            <v>0</v>
          </cell>
        </row>
      </sheetData>
      <sheetData sheetId="18">
        <row r="10">
          <cell r="I10">
            <v>131763517.5999999</v>
          </cell>
          <cell r="J10">
            <v>0</v>
          </cell>
        </row>
      </sheetData>
      <sheetData sheetId="19">
        <row r="14">
          <cell r="I14">
            <v>1771118799.3299999</v>
          </cell>
          <cell r="J14">
            <v>13455000</v>
          </cell>
        </row>
      </sheetData>
      <sheetData sheetId="20">
        <row r="10">
          <cell r="I10">
            <v>0</v>
          </cell>
          <cell r="J10">
            <v>294950000</v>
          </cell>
        </row>
      </sheetData>
      <sheetData sheetId="2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ME-AC"/>
      <sheetName val="ME-Mek"/>
      <sheetName val="ME-Elek"/>
      <sheetName val="ME-SOM"/>
      <sheetName val="ACR-TRADING"/>
      <sheetName val="ACR-PROJECT"/>
      <sheetName val="ACR-S&amp;M"/>
      <sheetName val="ACR-SOM"/>
      <sheetName val="DCNP-TRD"/>
      <sheetName val="DCNP-S&amp;M"/>
      <sheetName val="FSC-TRD"/>
      <sheetName val="FSC-S&amp;M"/>
      <sheetName val="FSC-MEK"/>
      <sheetName val="ICT-TRD"/>
      <sheetName val="ICT-S&amp;M"/>
      <sheetName val="ICT - SOM"/>
      <sheetName val="Lift"/>
      <sheetName val="segmen"/>
    </sheetNames>
    <sheetDataSet>
      <sheetData sheetId="0"/>
      <sheetData sheetId="1">
        <row r="11">
          <cell r="L11">
            <v>0</v>
          </cell>
          <cell r="M11">
            <v>0</v>
          </cell>
        </row>
      </sheetData>
      <sheetData sheetId="2">
        <row r="72">
          <cell r="K72">
            <v>135435446782.209</v>
          </cell>
          <cell r="L72">
            <v>21178138362</v>
          </cell>
          <cell r="M72">
            <v>42771268798.209</v>
          </cell>
          <cell r="R72">
            <v>1125600000</v>
          </cell>
        </row>
      </sheetData>
      <sheetData sheetId="3">
        <row r="43">
          <cell r="K43">
            <v>208891951875.17001</v>
          </cell>
          <cell r="L43">
            <v>53750957387.040695</v>
          </cell>
          <cell r="M43">
            <v>155140994488.1293</v>
          </cell>
          <cell r="R43">
            <v>0</v>
          </cell>
        </row>
      </sheetData>
      <sheetData sheetId="4">
        <row r="27">
          <cell r="K27">
            <v>47524737337</v>
          </cell>
          <cell r="L27">
            <v>328180000</v>
          </cell>
          <cell r="M27">
            <v>25021723195</v>
          </cell>
        </row>
      </sheetData>
      <sheetData sheetId="5"/>
      <sheetData sheetId="6"/>
      <sheetData sheetId="7">
        <row r="334">
          <cell r="K334">
            <v>46227251657.893333</v>
          </cell>
          <cell r="L334">
            <v>2528439815.6700001</v>
          </cell>
          <cell r="M334">
            <v>43441462078.223335</v>
          </cell>
          <cell r="R334">
            <v>99510000</v>
          </cell>
        </row>
      </sheetData>
      <sheetData sheetId="8">
        <row r="28">
          <cell r="K28">
            <v>48703001617.333328</v>
          </cell>
          <cell r="R28">
            <v>18100000000</v>
          </cell>
        </row>
      </sheetData>
      <sheetData sheetId="9">
        <row r="54">
          <cell r="K54">
            <v>66547176816.550003</v>
          </cell>
          <cell r="L54">
            <v>31051385201.400002</v>
          </cell>
          <cell r="M54">
            <v>33546227979.470001</v>
          </cell>
          <cell r="N54">
            <v>15872433178.199999</v>
          </cell>
        </row>
      </sheetData>
      <sheetData sheetId="10">
        <row r="270">
          <cell r="K270">
            <v>46361571080.18</v>
          </cell>
          <cell r="L270">
            <v>996397895.25999999</v>
          </cell>
          <cell r="M270">
            <v>19633455108.909996</v>
          </cell>
          <cell r="R270">
            <v>0</v>
          </cell>
        </row>
      </sheetData>
      <sheetData sheetId="11">
        <row r="68">
          <cell r="K68">
            <v>142094257900.68259</v>
          </cell>
          <cell r="L68">
            <v>4696977192.287961</v>
          </cell>
          <cell r="M68">
            <v>49359035942.283119</v>
          </cell>
          <cell r="N68">
            <v>4179608273.3347197</v>
          </cell>
        </row>
      </sheetData>
      <sheetData sheetId="12">
        <row r="1121">
          <cell r="K1121">
            <v>59424302254.904388</v>
          </cell>
          <cell r="L1121" t="e">
            <v>#N/A</v>
          </cell>
          <cell r="M1121" t="e">
            <v>#N/A</v>
          </cell>
        </row>
      </sheetData>
      <sheetData sheetId="13">
        <row r="13">
          <cell r="K13">
            <v>17241414905</v>
          </cell>
        </row>
      </sheetData>
      <sheetData sheetId="14">
        <row r="53">
          <cell r="K53">
            <v>263678695072.34998</v>
          </cell>
          <cell r="L53">
            <v>10573798289.560001</v>
          </cell>
          <cell r="M53">
            <v>253104896782.79001</v>
          </cell>
          <cell r="N53">
            <v>107950580501.62001</v>
          </cell>
          <cell r="R53">
            <v>143959860000</v>
          </cell>
        </row>
      </sheetData>
      <sheetData sheetId="15">
        <row r="111">
          <cell r="K111">
            <v>80103326529.136688</v>
          </cell>
          <cell r="L111">
            <v>2122403160.4000001</v>
          </cell>
          <cell r="M111">
            <v>70980923368.736679</v>
          </cell>
          <cell r="R111">
            <v>2798590727.27</v>
          </cell>
        </row>
      </sheetData>
      <sheetData sheetId="16"/>
      <sheetData sheetId="17">
        <row r="20">
          <cell r="K20">
            <v>7766363911.96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7"/>
  <sheetViews>
    <sheetView tabSelected="1" zoomScale="90" zoomScaleNormal="9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O20" sqref="O20"/>
    </sheetView>
  </sheetViews>
  <sheetFormatPr defaultColWidth="9.1796875" defaultRowHeight="12.5" x14ac:dyDescent="0.25"/>
  <cols>
    <col min="1" max="1" width="34.54296875" style="18" customWidth="1"/>
    <col min="2" max="3" width="10.453125" style="18" hidden="1" customWidth="1"/>
    <col min="4" max="4" width="12.7265625" style="18" hidden="1" customWidth="1"/>
    <col min="5" max="5" width="10.81640625" style="18" hidden="1" customWidth="1"/>
    <col min="6" max="6" width="10.453125" style="18" hidden="1" customWidth="1"/>
    <col min="7" max="8" width="11.26953125" style="18" customWidth="1"/>
    <col min="9" max="9" width="11.81640625" style="20" customWidth="1"/>
    <col min="10" max="13" width="11.26953125" style="18" customWidth="1"/>
    <col min="14" max="14" width="11.81640625" style="20" customWidth="1"/>
    <col min="15" max="17" width="11.26953125" style="18" customWidth="1"/>
    <col min="18" max="16384" width="9.1796875" style="18"/>
  </cols>
  <sheetData>
    <row r="1" spans="1:17" customFormat="1" x14ac:dyDescent="0.25">
      <c r="A1" s="164" t="s">
        <v>0</v>
      </c>
      <c r="B1" s="164"/>
      <c r="C1" s="164"/>
      <c r="D1" s="164"/>
      <c r="E1" s="164"/>
      <c r="F1" s="131"/>
      <c r="G1" s="131"/>
      <c r="H1" s="132"/>
      <c r="I1" s="133"/>
      <c r="K1" s="138"/>
      <c r="L1" s="138"/>
      <c r="M1" s="162"/>
      <c r="N1" s="133"/>
      <c r="P1" s="162"/>
      <c r="Q1" s="162"/>
    </row>
    <row r="2" spans="1:17" customFormat="1" x14ac:dyDescent="0.25">
      <c r="A2" s="165" t="s">
        <v>376</v>
      </c>
      <c r="B2" s="164"/>
      <c r="C2" s="164"/>
      <c r="D2" s="164"/>
      <c r="E2" s="164"/>
      <c r="F2" s="131"/>
      <c r="G2" s="131"/>
      <c r="H2" s="132"/>
      <c r="I2" s="133"/>
      <c r="K2" s="138"/>
      <c r="L2" s="138"/>
      <c r="M2" s="162"/>
      <c r="N2" s="133"/>
      <c r="P2" s="162"/>
      <c r="Q2" s="162"/>
    </row>
    <row r="3" spans="1:17" customFormat="1" x14ac:dyDescent="0.25">
      <c r="A3" s="165" t="s">
        <v>386</v>
      </c>
      <c r="B3" s="164"/>
      <c r="C3" s="164"/>
      <c r="D3" s="164"/>
      <c r="E3" s="164"/>
      <c r="F3" s="131"/>
      <c r="G3" s="131"/>
      <c r="H3" s="132"/>
      <c r="I3" s="133"/>
      <c r="K3" s="138"/>
      <c r="L3" s="138"/>
      <c r="M3" s="162"/>
      <c r="N3" s="133"/>
      <c r="P3" s="162"/>
      <c r="Q3" s="162"/>
    </row>
    <row r="4" spans="1:17" customFormat="1" ht="22.5" customHeight="1" x14ac:dyDescent="0.25">
      <c r="I4" s="133"/>
      <c r="N4" s="133"/>
    </row>
    <row r="5" spans="1:17" customFormat="1" ht="6" customHeight="1" x14ac:dyDescent="0.3">
      <c r="A5" s="139"/>
      <c r="B5" s="139"/>
      <c r="C5" s="139"/>
      <c r="D5" s="140"/>
      <c r="E5" s="139"/>
      <c r="F5" s="139"/>
      <c r="G5" s="139"/>
      <c r="H5" s="139"/>
      <c r="I5" s="141"/>
      <c r="J5" s="139"/>
      <c r="K5" s="139"/>
      <c r="L5" s="139"/>
      <c r="M5" s="139"/>
      <c r="N5" s="141"/>
      <c r="O5" s="139"/>
      <c r="P5" s="139"/>
      <c r="Q5" s="139"/>
    </row>
    <row r="6" spans="1:17" customFormat="1" ht="13" x14ac:dyDescent="0.3">
      <c r="A6" s="142" t="s">
        <v>3</v>
      </c>
      <c r="B6" s="142" t="s">
        <v>4</v>
      </c>
      <c r="C6" s="142" t="s">
        <v>348</v>
      </c>
      <c r="D6" s="142" t="s">
        <v>347</v>
      </c>
      <c r="E6" s="142" t="s">
        <v>349</v>
      </c>
      <c r="F6" s="142" t="s">
        <v>344</v>
      </c>
      <c r="G6" s="142" t="s">
        <v>348</v>
      </c>
      <c r="H6" s="142" t="s">
        <v>375</v>
      </c>
      <c r="I6" s="142" t="s">
        <v>347</v>
      </c>
      <c r="J6" s="142" t="s">
        <v>383</v>
      </c>
      <c r="K6" s="142" t="s">
        <v>344</v>
      </c>
      <c r="L6" s="142" t="s">
        <v>348</v>
      </c>
      <c r="M6" s="142" t="s">
        <v>375</v>
      </c>
      <c r="N6" s="142" t="s">
        <v>347</v>
      </c>
      <c r="O6" s="142" t="s">
        <v>383</v>
      </c>
      <c r="P6" s="142" t="s">
        <v>344</v>
      </c>
      <c r="Q6" s="142" t="s">
        <v>348</v>
      </c>
    </row>
    <row r="7" spans="1:17" customFormat="1" ht="13" x14ac:dyDescent="0.3">
      <c r="A7" s="143"/>
      <c r="B7" s="142">
        <v>2017</v>
      </c>
      <c r="C7" s="144" t="s">
        <v>346</v>
      </c>
      <c r="D7" s="142">
        <v>2017</v>
      </c>
      <c r="E7" s="142" t="s">
        <v>350</v>
      </c>
      <c r="F7" s="142">
        <v>2017</v>
      </c>
      <c r="G7" s="142">
        <v>2017</v>
      </c>
      <c r="H7" s="142">
        <v>2018</v>
      </c>
      <c r="I7" s="145" t="s">
        <v>377</v>
      </c>
      <c r="J7" s="145" t="s">
        <v>377</v>
      </c>
      <c r="K7" s="145" t="s">
        <v>377</v>
      </c>
      <c r="L7" s="145" t="s">
        <v>377</v>
      </c>
      <c r="M7" s="142">
        <v>2019</v>
      </c>
      <c r="N7" s="145" t="s">
        <v>377</v>
      </c>
      <c r="O7" s="145" t="s">
        <v>377</v>
      </c>
      <c r="P7" s="145" t="s">
        <v>377</v>
      </c>
      <c r="Q7" s="145" t="s">
        <v>377</v>
      </c>
    </row>
    <row r="8" spans="1:17" customFormat="1" ht="13" x14ac:dyDescent="0.3">
      <c r="A8" s="146"/>
      <c r="B8" s="147"/>
      <c r="C8" s="148"/>
      <c r="D8" s="147"/>
      <c r="E8" s="149">
        <v>2017</v>
      </c>
      <c r="F8" s="149"/>
      <c r="G8" s="149"/>
      <c r="H8" s="149"/>
      <c r="I8" s="150" t="s">
        <v>374</v>
      </c>
      <c r="J8" s="149">
        <v>2018</v>
      </c>
      <c r="K8" s="150" t="s">
        <v>374</v>
      </c>
      <c r="L8" s="149">
        <v>2018</v>
      </c>
      <c r="M8" s="149"/>
      <c r="N8" s="150" t="s">
        <v>385</v>
      </c>
      <c r="O8" s="149">
        <v>2019</v>
      </c>
      <c r="P8" s="150" t="s">
        <v>385</v>
      </c>
      <c r="Q8" s="149">
        <v>2019</v>
      </c>
    </row>
    <row r="9" spans="1:17" customFormat="1" ht="13" x14ac:dyDescent="0.3">
      <c r="A9" s="151" t="s">
        <v>364</v>
      </c>
      <c r="B9" s="152">
        <f>SUM(B10:B13)</f>
        <v>186490.63179034789</v>
      </c>
      <c r="C9" s="152">
        <f t="shared" ref="C9:H9" si="0">SUM(C10:C13)</f>
        <v>126278.92477137691</v>
      </c>
      <c r="D9" s="152">
        <f t="shared" si="0"/>
        <v>297479.98680300999</v>
      </c>
      <c r="E9" s="152">
        <f t="shared" si="0"/>
        <v>423758.91157438688</v>
      </c>
      <c r="F9" s="152">
        <f t="shared" si="0"/>
        <v>162809.10542513902</v>
      </c>
      <c r="G9" s="152">
        <f t="shared" si="0"/>
        <v>260949.80614924786</v>
      </c>
      <c r="H9" s="152">
        <f t="shared" si="0"/>
        <v>210000</v>
      </c>
      <c r="I9" s="153">
        <f t="shared" ref="I9" si="1">SUM(I10:I13)</f>
        <v>86576.714085229993</v>
      </c>
      <c r="J9" s="152">
        <f t="shared" ref="J9" si="2">SUM(J10:J13)</f>
        <v>347526.52023447788</v>
      </c>
      <c r="K9" s="152">
        <f t="shared" ref="K9" si="3">SUM(K10:K13)</f>
        <v>154993.87535435637</v>
      </c>
      <c r="L9" s="152">
        <f t="shared" ref="L9:P9" si="4">SUM(L10:L13)</f>
        <v>192532.64488012149</v>
      </c>
      <c r="M9" s="152">
        <f t="shared" si="4"/>
        <v>169000</v>
      </c>
      <c r="N9" s="153">
        <f t="shared" si="4"/>
        <v>70973.450948149999</v>
      </c>
      <c r="O9" s="152">
        <f t="shared" si="4"/>
        <v>263506.09582827153</v>
      </c>
      <c r="P9" s="152">
        <f t="shared" si="4"/>
        <v>67524.129716130046</v>
      </c>
      <c r="Q9" s="152">
        <f t="shared" ref="Q9" si="5">SUM(Q10:Q13)</f>
        <v>195981.96611214147</v>
      </c>
    </row>
    <row r="10" spans="1:17" customFormat="1" x14ac:dyDescent="0.25">
      <c r="A10" s="154" t="s">
        <v>355</v>
      </c>
      <c r="B10" s="155">
        <v>0</v>
      </c>
      <c r="C10" s="155">
        <v>0</v>
      </c>
      <c r="D10" s="155">
        <v>829.60368200000005</v>
      </c>
      <c r="E10" s="155">
        <f>+C10+D10</f>
        <v>829.60368200000005</v>
      </c>
      <c r="F10" s="155">
        <v>474.11650400000002</v>
      </c>
      <c r="G10" s="155">
        <f>+E10-F10</f>
        <v>355.48717800000003</v>
      </c>
      <c r="H10" s="156">
        <v>0</v>
      </c>
      <c r="I10" s="156">
        <v>25147.810731000001</v>
      </c>
      <c r="J10" s="155">
        <f>+G10+I10</f>
        <v>25503.297909000001</v>
      </c>
      <c r="K10" s="155">
        <v>17321.606551017681</v>
      </c>
      <c r="L10" s="155">
        <f>+J10-K10</f>
        <v>8181.6913579823195</v>
      </c>
      <c r="M10" s="156">
        <v>0</v>
      </c>
      <c r="N10" s="156">
        <v>6147.3987512499998</v>
      </c>
      <c r="O10" s="155">
        <f>+L10+N10</f>
        <v>14329.090109232318</v>
      </c>
      <c r="P10" s="155">
        <v>12397.438226619999</v>
      </c>
      <c r="Q10" s="155">
        <f>+O10-P10</f>
        <v>1931.6518826123192</v>
      </c>
    </row>
    <row r="11" spans="1:17" customFormat="1" x14ac:dyDescent="0.25">
      <c r="A11" s="154" t="s">
        <v>356</v>
      </c>
      <c r="B11" s="155">
        <v>55138.691469275</v>
      </c>
      <c r="C11" s="155">
        <v>52063.123017320206</v>
      </c>
      <c r="D11" s="155">
        <v>47778.915100999999</v>
      </c>
      <c r="E11" s="155">
        <f t="shared" ref="E11:E35" si="6">+C11+D11</f>
        <v>99842.038118320197</v>
      </c>
      <c r="F11" s="155">
        <v>55745.571288884552</v>
      </c>
      <c r="G11" s="155">
        <f t="shared" ref="G11:G35" si="7">+E11-F11</f>
        <v>44096.466829435645</v>
      </c>
      <c r="H11" s="156">
        <v>30000</v>
      </c>
      <c r="I11" s="156">
        <v>5512.4606999999996</v>
      </c>
      <c r="J11" s="155">
        <f>+G11+I11</f>
        <v>49608.927529435648</v>
      </c>
      <c r="K11" s="155">
        <v>16362.73178006645</v>
      </c>
      <c r="L11" s="155">
        <f t="shared" ref="L11:L36" si="8">+J11-K11</f>
        <v>33246.195749369203</v>
      </c>
      <c r="M11" s="156">
        <v>40000</v>
      </c>
      <c r="N11" s="156">
        <v>9447.7808220000006</v>
      </c>
      <c r="O11" s="155">
        <f>+L11+N11</f>
        <v>42693.976571369203</v>
      </c>
      <c r="P11" s="155">
        <v>5412.7092374374424</v>
      </c>
      <c r="Q11" s="155">
        <f t="shared" ref="Q11" si="9">+O11-P11</f>
        <v>37281.267333931763</v>
      </c>
    </row>
    <row r="12" spans="1:17" s="130" customFormat="1" x14ac:dyDescent="0.25">
      <c r="A12" s="154" t="s">
        <v>357</v>
      </c>
      <c r="B12" s="155">
        <v>116641.94032107289</v>
      </c>
      <c r="C12" s="155">
        <v>69273.046955056707</v>
      </c>
      <c r="D12" s="155">
        <v>240004.50102</v>
      </c>
      <c r="E12" s="155">
        <f t="shared" si="6"/>
        <v>309277.54797505669</v>
      </c>
      <c r="F12" s="155">
        <v>95014.246195306303</v>
      </c>
      <c r="G12" s="155">
        <f t="shared" si="7"/>
        <v>214263.30177975039</v>
      </c>
      <c r="H12" s="156">
        <v>140000</v>
      </c>
      <c r="I12" s="156">
        <f>-114249.93000486+134833.66</f>
        <v>20583.729995140005</v>
      </c>
      <c r="J12" s="155">
        <f>+G12+I12</f>
        <v>234847.03177489038</v>
      </c>
      <c r="K12" s="155">
        <v>88612.206213670404</v>
      </c>
      <c r="L12" s="155">
        <f>+J12-K12</f>
        <v>146234.82556121997</v>
      </c>
      <c r="M12" s="156">
        <v>105000</v>
      </c>
      <c r="N12" s="156">
        <v>24809.681568900003</v>
      </c>
      <c r="O12" s="155">
        <f>+L12+N12</f>
        <v>171044.50713011998</v>
      </c>
      <c r="P12" s="155">
        <v>37358.886818068087</v>
      </c>
      <c r="Q12" s="155">
        <f>+O12-P12</f>
        <v>133685.62031205191</v>
      </c>
    </row>
    <row r="13" spans="1:17" customFormat="1" x14ac:dyDescent="0.25">
      <c r="A13" s="154" t="s">
        <v>358</v>
      </c>
      <c r="B13" s="155">
        <v>14710</v>
      </c>
      <c r="C13" s="155">
        <v>4942.7547990000003</v>
      </c>
      <c r="D13" s="155">
        <v>8866.9670000099977</v>
      </c>
      <c r="E13" s="155">
        <f t="shared" si="6"/>
        <v>13809.721799009998</v>
      </c>
      <c r="F13" s="155">
        <v>11575.171436948182</v>
      </c>
      <c r="G13" s="155">
        <f t="shared" si="7"/>
        <v>2234.5503620618165</v>
      </c>
      <c r="H13" s="156">
        <v>40000</v>
      </c>
      <c r="I13" s="156">
        <v>35332.712659089993</v>
      </c>
      <c r="J13" s="155">
        <f>+G13+I13</f>
        <v>37567.263021151812</v>
      </c>
      <c r="K13" s="155">
        <v>32697.330809601819</v>
      </c>
      <c r="L13" s="155">
        <f t="shared" si="8"/>
        <v>4869.9322115499926</v>
      </c>
      <c r="M13" s="156">
        <v>24000</v>
      </c>
      <c r="N13" s="156">
        <v>30568.589806</v>
      </c>
      <c r="O13" s="155">
        <f>+L13+N13</f>
        <v>35438.522017549993</v>
      </c>
      <c r="P13" s="155">
        <v>12355.09543400451</v>
      </c>
      <c r="Q13" s="155">
        <f t="shared" ref="Q13" si="10">+O13-P13</f>
        <v>23083.426583545483</v>
      </c>
    </row>
    <row r="14" spans="1:17" customFormat="1" ht="13" x14ac:dyDescent="0.3">
      <c r="A14" s="151" t="s">
        <v>365</v>
      </c>
      <c r="B14" s="153">
        <f>SUM(B15:B18)</f>
        <v>288093.27025302168</v>
      </c>
      <c r="C14" s="153">
        <f t="shared" ref="C14:H14" si="11">SUM(C15:C18)</f>
        <v>243579.80415724785</v>
      </c>
      <c r="D14" s="153">
        <f t="shared" si="11"/>
        <v>130738.52711787001</v>
      </c>
      <c r="E14" s="153">
        <f t="shared" si="11"/>
        <v>374318.33127511793</v>
      </c>
      <c r="F14" s="153">
        <f t="shared" si="11"/>
        <v>268732.04056673683</v>
      </c>
      <c r="G14" s="153">
        <f t="shared" si="11"/>
        <v>105586.29070838107</v>
      </c>
      <c r="H14" s="153">
        <f t="shared" si="11"/>
        <v>335000</v>
      </c>
      <c r="I14" s="153">
        <f t="shared" ref="I14" si="12">SUM(I15:I18)</f>
        <v>185471.96729155999</v>
      </c>
      <c r="J14" s="153">
        <f t="shared" ref="J14" si="13">SUM(J15:J18)</f>
        <v>291058.25799994107</v>
      </c>
      <c r="K14" s="153">
        <f t="shared" ref="K14" si="14">SUM(K15:K18)</f>
        <v>187563.73724119671</v>
      </c>
      <c r="L14" s="153">
        <f t="shared" ref="L14:P14" si="15">SUM(L15:L18)</f>
        <v>103494.52075874436</v>
      </c>
      <c r="M14" s="153">
        <f t="shared" si="15"/>
        <v>242000</v>
      </c>
      <c r="N14" s="153">
        <f t="shared" si="15"/>
        <v>128813.06214818</v>
      </c>
      <c r="O14" s="153">
        <f t="shared" si="15"/>
        <v>232307.58290692436</v>
      </c>
      <c r="P14" s="153">
        <f t="shared" si="15"/>
        <v>134594.51886303982</v>
      </c>
      <c r="Q14" s="153">
        <f t="shared" ref="Q14" si="16">SUM(Q15:Q18)</f>
        <v>97713.064043884529</v>
      </c>
    </row>
    <row r="15" spans="1:17" customFormat="1" x14ac:dyDescent="0.25">
      <c r="A15" s="157" t="s">
        <v>25</v>
      </c>
      <c r="B15" s="155">
        <v>74370.772731310004</v>
      </c>
      <c r="C15" s="155">
        <v>31129.715135739229</v>
      </c>
      <c r="D15" s="155">
        <v>49761.581078000003</v>
      </c>
      <c r="E15" s="155">
        <f t="shared" si="6"/>
        <v>80891.296213739231</v>
      </c>
      <c r="F15" s="155">
        <v>64209.70458941922</v>
      </c>
      <c r="G15" s="155">
        <f t="shared" si="7"/>
        <v>16681.591624320012</v>
      </c>
      <c r="H15" s="156">
        <v>100000</v>
      </c>
      <c r="I15" s="156">
        <v>65481.759183270005</v>
      </c>
      <c r="J15" s="155">
        <f>+G15+I15</f>
        <v>82163.350807590017</v>
      </c>
      <c r="K15" s="155">
        <v>40925.739426979999</v>
      </c>
      <c r="L15" s="155">
        <f t="shared" si="8"/>
        <v>41237.611380610018</v>
      </c>
      <c r="M15" s="156">
        <v>65000</v>
      </c>
      <c r="N15" s="156">
        <v>50190.251943290001</v>
      </c>
      <c r="O15" s="155">
        <f>+L15+N15</f>
        <v>91427.863323900019</v>
      </c>
      <c r="P15" s="155">
        <v>54447.681714977451</v>
      </c>
      <c r="Q15" s="155">
        <f t="shared" ref="Q15" si="17">+O15-P15</f>
        <v>36980.181608922569</v>
      </c>
    </row>
    <row r="16" spans="1:17" customFormat="1" x14ac:dyDescent="0.25">
      <c r="A16" s="154" t="s">
        <v>363</v>
      </c>
      <c r="B16" s="155">
        <v>146749.53224662054</v>
      </c>
      <c r="C16" s="155">
        <v>171655.97195813511</v>
      </c>
      <c r="D16" s="155">
        <v>28601.252661810002</v>
      </c>
      <c r="E16" s="155">
        <f>+C16+D16</f>
        <v>200257.2246199451</v>
      </c>
      <c r="F16" s="155">
        <v>135049.45531514837</v>
      </c>
      <c r="G16" s="155">
        <f>+E16-F16</f>
        <v>65207.769304796733</v>
      </c>
      <c r="H16" s="156">
        <v>150000</v>
      </c>
      <c r="I16" s="156">
        <v>56558.431961729999</v>
      </c>
      <c r="J16" s="155">
        <f>+G16+I16</f>
        <v>121766.20126652674</v>
      </c>
      <c r="K16" s="155">
        <v>76980.081740923692</v>
      </c>
      <c r="L16" s="155">
        <f>+J16-K16</f>
        <v>44786.119525603048</v>
      </c>
      <c r="M16" s="156">
        <v>104000</v>
      </c>
      <c r="N16" s="156">
        <v>-1108.03836</v>
      </c>
      <c r="O16" s="155">
        <f>+L16+N16</f>
        <v>43678.081165603049</v>
      </c>
      <c r="P16" s="155">
        <v>28406.018143494417</v>
      </c>
      <c r="Q16" s="155">
        <f>+O16-P16</f>
        <v>15272.063022108632</v>
      </c>
    </row>
    <row r="17" spans="1:17" customFormat="1" x14ac:dyDescent="0.25">
      <c r="A17" s="154" t="s">
        <v>359</v>
      </c>
      <c r="B17" s="155">
        <v>36274.883076641112</v>
      </c>
      <c r="C17" s="155">
        <v>14437.329289146866</v>
      </c>
      <c r="D17" s="155">
        <v>30641.490095630001</v>
      </c>
      <c r="E17" s="155">
        <f t="shared" si="6"/>
        <v>45078.819384776871</v>
      </c>
      <c r="F17" s="155">
        <v>38705.180689263536</v>
      </c>
      <c r="G17" s="155">
        <f t="shared" si="7"/>
        <v>6373.6386955133348</v>
      </c>
      <c r="H17" s="156">
        <v>50000</v>
      </c>
      <c r="I17" s="156">
        <v>45179.865088239996</v>
      </c>
      <c r="J17" s="155">
        <f>+G17+I17</f>
        <v>51553.503783753331</v>
      </c>
      <c r="K17" s="155">
        <v>36830.551373843577</v>
      </c>
      <c r="L17" s="155">
        <f t="shared" si="8"/>
        <v>14722.952409909754</v>
      </c>
      <c r="M17" s="156">
        <v>73000</v>
      </c>
      <c r="N17" s="156">
        <v>25643.367036880001</v>
      </c>
      <c r="O17" s="155">
        <f>+L17+N17</f>
        <v>40366.319446789756</v>
      </c>
      <c r="P17" s="155">
        <v>26660.819131699762</v>
      </c>
      <c r="Q17" s="155">
        <f t="shared" ref="Q17:Q18" si="18">+O17-P17</f>
        <v>13705.500315089994</v>
      </c>
    </row>
    <row r="18" spans="1:17" customFormat="1" x14ac:dyDescent="0.25">
      <c r="A18" s="154" t="s">
        <v>28</v>
      </c>
      <c r="B18" s="155">
        <v>30698.08219845</v>
      </c>
      <c r="C18" s="155">
        <v>26356.787774226665</v>
      </c>
      <c r="D18" s="155">
        <v>21734.20328243</v>
      </c>
      <c r="E18" s="155">
        <f t="shared" si="6"/>
        <v>48090.991056656669</v>
      </c>
      <c r="F18" s="155">
        <v>30767.699972905692</v>
      </c>
      <c r="G18" s="155">
        <f t="shared" si="7"/>
        <v>17323.291083750977</v>
      </c>
      <c r="H18" s="156">
        <v>35000</v>
      </c>
      <c r="I18" s="156">
        <v>18251.911058319998</v>
      </c>
      <c r="J18" s="155">
        <f>+G18+I18</f>
        <v>35575.202142070979</v>
      </c>
      <c r="K18" s="155">
        <v>32827.364699449441</v>
      </c>
      <c r="L18" s="155">
        <f t="shared" si="8"/>
        <v>2747.8374426215378</v>
      </c>
      <c r="M18" s="156"/>
      <c r="N18" s="156">
        <v>54087.481528009994</v>
      </c>
      <c r="O18" s="155">
        <f>+L18+N18</f>
        <v>56835.318970631532</v>
      </c>
      <c r="P18" s="155">
        <v>25079.999872868193</v>
      </c>
      <c r="Q18" s="155">
        <f t="shared" si="18"/>
        <v>31755.319097763339</v>
      </c>
    </row>
    <row r="19" spans="1:17" customFormat="1" ht="13" x14ac:dyDescent="0.3">
      <c r="A19" s="151" t="s">
        <v>366</v>
      </c>
      <c r="B19" s="153">
        <f>B20+B22</f>
        <v>96174.884226840004</v>
      </c>
      <c r="C19" s="153">
        <f t="shared" ref="C19:F19" si="19">C20+C22</f>
        <v>30937.762098122399</v>
      </c>
      <c r="D19" s="153">
        <f t="shared" si="19"/>
        <v>89470.483157779992</v>
      </c>
      <c r="E19" s="153">
        <f t="shared" si="19"/>
        <v>120408.24525590241</v>
      </c>
      <c r="F19" s="153">
        <f t="shared" si="19"/>
        <v>99016.45166703999</v>
      </c>
      <c r="G19" s="153">
        <f t="shared" ref="G19:H19" si="20">G20+G22+G21</f>
        <v>21391.793588862412</v>
      </c>
      <c r="H19" s="153">
        <f t="shared" si="20"/>
        <v>115000</v>
      </c>
      <c r="I19" s="153">
        <f>I20+I22+I21</f>
        <v>62491.436089430004</v>
      </c>
      <c r="J19" s="153">
        <f t="shared" ref="J19:M19" si="21">J20+J22+J21</f>
        <v>83883.229678292424</v>
      </c>
      <c r="K19" s="153">
        <f t="shared" si="21"/>
        <v>50483.277697819991</v>
      </c>
      <c r="L19" s="153">
        <f t="shared" si="21"/>
        <v>33399.951980472419</v>
      </c>
      <c r="M19" s="153">
        <f t="shared" si="21"/>
        <v>82000</v>
      </c>
      <c r="N19" s="153">
        <f>N20+N22+N21</f>
        <v>173713.52583588302</v>
      </c>
      <c r="O19" s="153">
        <f t="shared" ref="O19:Q19" si="22">O20+O22+O21</f>
        <v>207113.47781635541</v>
      </c>
      <c r="P19" s="153">
        <f t="shared" si="22"/>
        <v>150555.62408184726</v>
      </c>
      <c r="Q19" s="153">
        <f t="shared" si="22"/>
        <v>56557.853734508135</v>
      </c>
    </row>
    <row r="20" spans="1:17" customFormat="1" x14ac:dyDescent="0.25">
      <c r="A20" s="157" t="s">
        <v>29</v>
      </c>
      <c r="B20" s="155">
        <v>64174.345716800002</v>
      </c>
      <c r="C20" s="155">
        <v>11169.166853999999</v>
      </c>
      <c r="D20" s="155">
        <v>55400.398941910003</v>
      </c>
      <c r="E20" s="155">
        <f t="shared" si="6"/>
        <v>66569.565795910006</v>
      </c>
      <c r="F20" s="155">
        <v>65911.663563199996</v>
      </c>
      <c r="G20" s="155">
        <v>575.15223271001003</v>
      </c>
      <c r="H20" s="156">
        <v>80000</v>
      </c>
      <c r="I20" s="156">
        <v>17601.106930000002</v>
      </c>
      <c r="J20" s="155">
        <f>+G20+I20</f>
        <v>18176.259162710012</v>
      </c>
      <c r="K20" s="155">
        <v>10578.572424649999</v>
      </c>
      <c r="L20" s="155">
        <f t="shared" si="8"/>
        <v>7597.6867380600124</v>
      </c>
      <c r="M20" s="156">
        <v>30000</v>
      </c>
      <c r="N20" s="156">
        <v>125590.15476999999</v>
      </c>
      <c r="O20" s="155">
        <f>+L20+N20</f>
        <v>133187.84150806</v>
      </c>
      <c r="P20" s="155">
        <v>108452.86054839402</v>
      </c>
      <c r="Q20" s="155">
        <f t="shared" ref="Q20:Q22" si="23">+O20-P20</f>
        <v>24734.980959665976</v>
      </c>
    </row>
    <row r="21" spans="1:17" customFormat="1" x14ac:dyDescent="0.25">
      <c r="A21" s="157" t="s">
        <v>378</v>
      </c>
      <c r="B21" s="155"/>
      <c r="C21" s="155"/>
      <c r="D21" s="155"/>
      <c r="E21" s="155"/>
      <c r="F21" s="155"/>
      <c r="G21" s="155">
        <v>82.75</v>
      </c>
      <c r="H21" s="156">
        <v>0</v>
      </c>
      <c r="I21" s="156">
        <v>8885.8360069999999</v>
      </c>
      <c r="J21" s="155">
        <f>+G21+I21</f>
        <v>8968.5860069999999</v>
      </c>
      <c r="K21" s="155">
        <v>4312.0681649999997</v>
      </c>
      <c r="L21" s="155">
        <f t="shared" si="8"/>
        <v>4656.5178420000002</v>
      </c>
      <c r="M21" s="156">
        <v>16000</v>
      </c>
      <c r="N21" s="156">
        <v>11719.940697970002</v>
      </c>
      <c r="O21" s="155">
        <f>+L21+N21</f>
        <v>16376.458539970001</v>
      </c>
      <c r="P21" s="155">
        <v>9004.5288880000007</v>
      </c>
      <c r="Q21" s="155">
        <f t="shared" si="23"/>
        <v>7371.9296519700001</v>
      </c>
    </row>
    <row r="22" spans="1:17" customFormat="1" x14ac:dyDescent="0.25">
      <c r="A22" s="154" t="s">
        <v>360</v>
      </c>
      <c r="B22" s="155">
        <v>32000.538510040002</v>
      </c>
      <c r="C22" s="155">
        <v>19768.5952441224</v>
      </c>
      <c r="D22" s="155">
        <v>34070.084215869996</v>
      </c>
      <c r="E22" s="155">
        <f t="shared" si="6"/>
        <v>53838.679459992396</v>
      </c>
      <c r="F22" s="155">
        <v>33104.788103839994</v>
      </c>
      <c r="G22" s="155">
        <v>20733.891356152402</v>
      </c>
      <c r="H22" s="156">
        <v>35000</v>
      </c>
      <c r="I22" s="156">
        <v>36004.493152430005</v>
      </c>
      <c r="J22" s="155">
        <f>+G22+I22</f>
        <v>56738.384508582407</v>
      </c>
      <c r="K22" s="155">
        <v>35592.637108169998</v>
      </c>
      <c r="L22" s="155">
        <f t="shared" si="8"/>
        <v>21145.747400412409</v>
      </c>
      <c r="M22" s="156">
        <v>36000</v>
      </c>
      <c r="N22" s="156">
        <v>36403.430367913003</v>
      </c>
      <c r="O22" s="155">
        <f>+L22+N22</f>
        <v>57549.177768325411</v>
      </c>
      <c r="P22" s="155">
        <v>33098.234645453253</v>
      </c>
      <c r="Q22" s="155">
        <f t="shared" si="23"/>
        <v>24450.943122872159</v>
      </c>
    </row>
    <row r="23" spans="1:17" customFormat="1" x14ac:dyDescent="0.25">
      <c r="A23" s="154" t="s">
        <v>387</v>
      </c>
      <c r="B23" s="155"/>
      <c r="C23" s="155"/>
      <c r="D23" s="155"/>
      <c r="E23" s="155"/>
      <c r="F23" s="155"/>
      <c r="G23" s="155"/>
      <c r="H23" s="156"/>
      <c r="I23" s="156"/>
      <c r="J23" s="155"/>
      <c r="K23" s="155"/>
      <c r="L23" s="155"/>
      <c r="M23" s="156">
        <v>0</v>
      </c>
      <c r="N23" s="156">
        <v>75.13</v>
      </c>
      <c r="O23" s="155">
        <f>+L23+N23</f>
        <v>75.13</v>
      </c>
      <c r="P23" s="155">
        <v>0</v>
      </c>
      <c r="Q23" s="155">
        <f t="shared" ref="Q23" si="24">+O23-P23</f>
        <v>75.13</v>
      </c>
    </row>
    <row r="24" spans="1:17" customFormat="1" ht="13" x14ac:dyDescent="0.3">
      <c r="A24" s="151" t="s">
        <v>369</v>
      </c>
      <c r="B24" s="153">
        <f>SUM(B25:B29)</f>
        <v>393974.0011652704</v>
      </c>
      <c r="C24" s="153">
        <f t="shared" ref="C24:H24" si="25">SUM(C25:C29)</f>
        <v>205403.74987459078</v>
      </c>
      <c r="D24" s="153">
        <f t="shared" si="25"/>
        <v>458378.63819807995</v>
      </c>
      <c r="E24" s="153">
        <f t="shared" si="25"/>
        <v>663782.3880726709</v>
      </c>
      <c r="F24" s="153">
        <f t="shared" si="25"/>
        <v>393542.9495307153</v>
      </c>
      <c r="G24" s="153">
        <f t="shared" si="25"/>
        <v>270239.43854195555</v>
      </c>
      <c r="H24" s="153">
        <f t="shared" si="25"/>
        <v>351000</v>
      </c>
      <c r="I24" s="153">
        <f t="shared" ref="I24" si="26">SUM(I25:I29)</f>
        <v>348885.54902278003</v>
      </c>
      <c r="J24" s="153">
        <f t="shared" ref="J24" si="27">SUM(J25:J29)</f>
        <v>619124.98756473558</v>
      </c>
      <c r="K24" s="153">
        <f t="shared" ref="K24" si="28">SUM(K25:K29)</f>
        <v>360155.14652143099</v>
      </c>
      <c r="L24" s="153">
        <f t="shared" ref="L24:P24" si="29">SUM(L25:L29)</f>
        <v>258969.84104330454</v>
      </c>
      <c r="M24" s="153">
        <f t="shared" si="29"/>
        <v>454000</v>
      </c>
      <c r="N24" s="153">
        <f t="shared" si="29"/>
        <v>363844.47567200323</v>
      </c>
      <c r="O24" s="153">
        <f t="shared" si="29"/>
        <v>622814.31671530788</v>
      </c>
      <c r="P24" s="153">
        <f t="shared" si="29"/>
        <v>222859.82795897059</v>
      </c>
      <c r="Q24" s="153">
        <f t="shared" ref="Q24" si="30">SUM(Q25:Q29)</f>
        <v>399954.48875633714</v>
      </c>
    </row>
    <row r="25" spans="1:17" customFormat="1" x14ac:dyDescent="0.25">
      <c r="A25" s="157" t="s">
        <v>34</v>
      </c>
      <c r="B25" s="155">
        <v>40995.045100000003</v>
      </c>
      <c r="C25" s="155">
        <v>6308</v>
      </c>
      <c r="D25" s="155">
        <v>50317.907700000003</v>
      </c>
      <c r="E25" s="155">
        <f>+C25+D25</f>
        <v>56625.907700000003</v>
      </c>
      <c r="F25" s="155">
        <v>31886.512500000001</v>
      </c>
      <c r="G25" s="155">
        <f>+E25-F25</f>
        <v>24739.395200000003</v>
      </c>
      <c r="H25" s="156">
        <v>60000</v>
      </c>
      <c r="I25" s="156">
        <v>31886.461033</v>
      </c>
      <c r="J25" s="155">
        <f>+G25+I25</f>
        <v>56625.856232999999</v>
      </c>
      <c r="K25" s="155">
        <v>41203.419071999997</v>
      </c>
      <c r="L25" s="155">
        <f>+J25-K25</f>
        <v>15422.437161000002</v>
      </c>
      <c r="M25" s="156">
        <v>105000</v>
      </c>
      <c r="N25" s="156">
        <v>18116.640370000001</v>
      </c>
      <c r="O25" s="155">
        <f t="shared" ref="O25:O30" si="31">+L25+N25</f>
        <v>33539.077531000003</v>
      </c>
      <c r="P25" s="155">
        <v>-8052.9335879999999</v>
      </c>
      <c r="Q25" s="155">
        <f t="shared" ref="Q25:Q30" si="32">+O25-P25</f>
        <v>41592.011119000003</v>
      </c>
    </row>
    <row r="26" spans="1:17" customFormat="1" x14ac:dyDescent="0.25">
      <c r="A26" s="157" t="s">
        <v>143</v>
      </c>
      <c r="B26" s="155">
        <v>278296.88599968451</v>
      </c>
      <c r="C26" s="155">
        <v>156148.78766151998</v>
      </c>
      <c r="D26" s="155">
        <v>266137.35582965001</v>
      </c>
      <c r="E26" s="155">
        <f>+C26+D26</f>
        <v>422286.14349117002</v>
      </c>
      <c r="F26" s="155">
        <v>288642.42759360705</v>
      </c>
      <c r="G26" s="155">
        <f>+E26-F26</f>
        <v>133643.71589756297</v>
      </c>
      <c r="H26" s="156">
        <v>210000</v>
      </c>
      <c r="I26" s="156">
        <f>378222.87179603-134833.66</f>
        <v>243389.21179603002</v>
      </c>
      <c r="J26" s="155">
        <f>+G26+I26</f>
        <v>377032.92769359297</v>
      </c>
      <c r="K26" s="155">
        <v>215819.024817522</v>
      </c>
      <c r="L26" s="155">
        <f>+J26-K26</f>
        <v>161213.90287607096</v>
      </c>
      <c r="M26" s="156">
        <v>220000</v>
      </c>
      <c r="N26" s="156">
        <v>356863.17260094994</v>
      </c>
      <c r="O26" s="155">
        <f t="shared" si="31"/>
        <v>518077.07547702093</v>
      </c>
      <c r="P26" s="155">
        <v>171281.7667445314</v>
      </c>
      <c r="Q26" s="155">
        <f t="shared" si="32"/>
        <v>346795.30873248953</v>
      </c>
    </row>
    <row r="27" spans="1:17" customFormat="1" x14ac:dyDescent="0.25">
      <c r="A27" s="154" t="s">
        <v>361</v>
      </c>
      <c r="B27" s="155">
        <v>25812.563083196666</v>
      </c>
      <c r="C27" s="155">
        <v>10097.853871825835</v>
      </c>
      <c r="D27" s="155">
        <v>24745.648285709998</v>
      </c>
      <c r="E27" s="155">
        <f>+C27+D27</f>
        <v>34843.502157535833</v>
      </c>
      <c r="F27" s="155">
        <v>21230.478116011964</v>
      </c>
      <c r="G27" s="155">
        <f>+E27-F27</f>
        <v>13613.02404152387</v>
      </c>
      <c r="H27" s="156">
        <v>36000</v>
      </c>
      <c r="I27" s="156">
        <v>11880.10904605</v>
      </c>
      <c r="J27" s="155">
        <f>+G27+I27</f>
        <v>25493.133087573871</v>
      </c>
      <c r="K27" s="155">
        <v>18982.3044416948</v>
      </c>
      <c r="L27" s="155">
        <f>+J27-K27</f>
        <v>6510.8286458790717</v>
      </c>
      <c r="M27" s="156">
        <v>24000</v>
      </c>
      <c r="N27" s="156">
        <v>10470.538981239999</v>
      </c>
      <c r="O27" s="155">
        <f t="shared" si="31"/>
        <v>16981.367627119071</v>
      </c>
      <c r="P27" s="155">
        <v>10795.654321825974</v>
      </c>
      <c r="Q27" s="155">
        <f t="shared" si="32"/>
        <v>6185.7133052930967</v>
      </c>
    </row>
    <row r="28" spans="1:17" customFormat="1" x14ac:dyDescent="0.25">
      <c r="A28" s="157" t="s">
        <v>145</v>
      </c>
      <c r="B28" s="155">
        <v>47341.237558289242</v>
      </c>
      <c r="C28" s="155">
        <v>32717.344823645002</v>
      </c>
      <c r="D28" s="155">
        <f>117177.72638272-609.3129475</f>
        <v>116568.41343521999</v>
      </c>
      <c r="E28" s="155">
        <f>+C28+D28</f>
        <v>149285.75825886498</v>
      </c>
      <c r="F28" s="155">
        <f>51042.4548559963</f>
        <v>51042.4548559963</v>
      </c>
      <c r="G28" s="155">
        <f>+E28-F28</f>
        <v>98243.303402868682</v>
      </c>
      <c r="H28" s="156">
        <v>45000</v>
      </c>
      <c r="I28" s="156">
        <v>61527.767147700004</v>
      </c>
      <c r="J28" s="155">
        <f>+G28+I28</f>
        <v>159771.07055056869</v>
      </c>
      <c r="K28" s="155">
        <v>83948.325025214202</v>
      </c>
      <c r="L28" s="155">
        <f>+J28-K28</f>
        <v>75822.74552535449</v>
      </c>
      <c r="M28" s="156">
        <v>105000</v>
      </c>
      <c r="N28" s="156">
        <v>-21605.876280186705</v>
      </c>
      <c r="O28" s="155">
        <f t="shared" si="31"/>
        <v>54216.869245167785</v>
      </c>
      <c r="P28" s="155">
        <v>48352.843200613221</v>
      </c>
      <c r="Q28" s="155">
        <f t="shared" si="32"/>
        <v>5864.0260445545646</v>
      </c>
    </row>
    <row r="29" spans="1:17" s="130" customFormat="1" x14ac:dyDescent="0.25">
      <c r="A29" s="157" t="s">
        <v>36</v>
      </c>
      <c r="B29" s="155">
        <v>1528.2694240999999</v>
      </c>
      <c r="C29" s="155">
        <v>131.76351759999991</v>
      </c>
      <c r="D29" s="155">
        <v>609.31294749999995</v>
      </c>
      <c r="E29" s="155">
        <f>+C29+D29</f>
        <v>741.07646509999984</v>
      </c>
      <c r="F29" s="155">
        <v>741.07646509999995</v>
      </c>
      <c r="G29" s="155">
        <f>+E29-F29</f>
        <v>0</v>
      </c>
      <c r="H29" s="156"/>
      <c r="I29" s="156">
        <v>202</v>
      </c>
      <c r="J29" s="155">
        <f>+G29+I29</f>
        <v>202</v>
      </c>
      <c r="K29" s="155">
        <v>202.07316499999999</v>
      </c>
      <c r="L29" s="155">
        <f>+J29-K29</f>
        <v>-7.3164999999988822E-2</v>
      </c>
      <c r="M29" s="156">
        <v>0</v>
      </c>
      <c r="N29" s="156">
        <v>0</v>
      </c>
      <c r="O29" s="155">
        <f t="shared" si="31"/>
        <v>-7.3164999999988822E-2</v>
      </c>
      <c r="P29" s="155">
        <v>482.49727999999999</v>
      </c>
      <c r="Q29" s="155">
        <f t="shared" si="32"/>
        <v>-482.57044499999995</v>
      </c>
    </row>
    <row r="30" spans="1:17" s="130" customFormat="1" x14ac:dyDescent="0.25">
      <c r="A30" s="154" t="s">
        <v>388</v>
      </c>
      <c r="B30" s="155"/>
      <c r="C30" s="155"/>
      <c r="D30" s="155"/>
      <c r="E30" s="155"/>
      <c r="F30" s="155"/>
      <c r="G30" s="155"/>
      <c r="H30" s="156"/>
      <c r="I30" s="156"/>
      <c r="J30" s="155"/>
      <c r="K30" s="155"/>
      <c r="L30" s="155"/>
      <c r="M30" s="156">
        <v>0</v>
      </c>
      <c r="N30" s="156">
        <v>0</v>
      </c>
      <c r="O30" s="155">
        <f t="shared" si="31"/>
        <v>0</v>
      </c>
      <c r="P30" s="155">
        <v>0</v>
      </c>
      <c r="Q30" s="155">
        <f t="shared" si="32"/>
        <v>0</v>
      </c>
    </row>
    <row r="31" spans="1:17" customFormat="1" ht="13" x14ac:dyDescent="0.3">
      <c r="A31" s="151" t="s">
        <v>368</v>
      </c>
      <c r="B31" s="153">
        <f>SUM(B32:B35)</f>
        <v>136470.10487101175</v>
      </c>
      <c r="C31" s="153">
        <f t="shared" ref="C31:F31" si="33">SUM(C32:C35)</f>
        <v>69054.408114239588</v>
      </c>
      <c r="D31" s="153">
        <f t="shared" si="33"/>
        <v>126313.18544739</v>
      </c>
      <c r="E31" s="153">
        <f t="shared" si="33"/>
        <v>195367.59356162959</v>
      </c>
      <c r="F31" s="153">
        <f t="shared" si="33"/>
        <v>144342.90599495929</v>
      </c>
      <c r="G31" s="153">
        <f t="shared" ref="G31:J31" si="34">SUM(G32:G36)</f>
        <v>51024.687566670298</v>
      </c>
      <c r="H31" s="153">
        <f t="shared" si="34"/>
        <v>213000</v>
      </c>
      <c r="I31" s="153">
        <f t="shared" si="34"/>
        <v>233468.05365413</v>
      </c>
      <c r="J31" s="153">
        <f t="shared" si="34"/>
        <v>284492.74122080032</v>
      </c>
      <c r="K31" s="153">
        <f>SUM(K32:K36)</f>
        <v>172465.07099572808</v>
      </c>
      <c r="L31" s="153">
        <f>SUM(L32:L36)</f>
        <v>112027.67022507222</v>
      </c>
      <c r="M31" s="153">
        <f t="shared" ref="M31:O31" si="35">SUM(M32:M36)</f>
        <v>222000</v>
      </c>
      <c r="N31" s="153">
        <f t="shared" si="35"/>
        <v>108061.45418586273</v>
      </c>
      <c r="O31" s="153">
        <f t="shared" si="35"/>
        <v>220089.12441093498</v>
      </c>
      <c r="P31" s="153">
        <f>SUM(P32:P36)</f>
        <v>68338.014625521304</v>
      </c>
      <c r="Q31" s="153">
        <f>SUM(Q32:Q36)</f>
        <v>151751.10978541363</v>
      </c>
    </row>
    <row r="32" spans="1:17" customFormat="1" x14ac:dyDescent="0.25">
      <c r="A32" s="157" t="s">
        <v>31</v>
      </c>
      <c r="B32" s="155">
        <v>50350.21572032175</v>
      </c>
      <c r="C32" s="155">
        <v>38453.012204350045</v>
      </c>
      <c r="D32" s="155">
        <v>20635.986921900003</v>
      </c>
      <c r="E32" s="155">
        <f t="shared" si="6"/>
        <v>59088.999126250048</v>
      </c>
      <c r="F32" s="155">
        <v>39206.113955589179</v>
      </c>
      <c r="G32" s="155">
        <f t="shared" si="7"/>
        <v>19882.885170660869</v>
      </c>
      <c r="H32" s="156">
        <v>70000</v>
      </c>
      <c r="I32" s="156">
        <v>13230.669163</v>
      </c>
      <c r="J32" s="155">
        <f>+G32+I32</f>
        <v>33113.554333660868</v>
      </c>
      <c r="K32" s="155">
        <v>6571.3132658652194</v>
      </c>
      <c r="L32" s="155">
        <f t="shared" si="8"/>
        <v>26542.24106779565</v>
      </c>
      <c r="M32" s="156">
        <v>32000</v>
      </c>
      <c r="N32" s="156">
        <v>18156.204594999999</v>
      </c>
      <c r="O32" s="155">
        <f>+L32+N32</f>
        <v>44698.445662795653</v>
      </c>
      <c r="P32" s="155">
        <v>14758.270954189835</v>
      </c>
      <c r="Q32" s="155">
        <f t="shared" ref="Q32" si="36">+O32-P32</f>
        <v>29940.174708605817</v>
      </c>
    </row>
    <row r="33" spans="1:17" customFormat="1" x14ac:dyDescent="0.25">
      <c r="A33" s="154" t="s">
        <v>354</v>
      </c>
      <c r="B33" s="155">
        <v>0</v>
      </c>
      <c r="C33" s="155">
        <v>0</v>
      </c>
      <c r="D33" s="155">
        <v>13808.388916</v>
      </c>
      <c r="E33" s="155">
        <f>+C33+D33</f>
        <v>13808.388916</v>
      </c>
      <c r="F33" s="155">
        <v>9293.4281819999997</v>
      </c>
      <c r="G33" s="155">
        <f>+E33-F33</f>
        <v>4514.9607340000002</v>
      </c>
      <c r="H33" s="156">
        <v>30000</v>
      </c>
      <c r="I33" s="156">
        <v>27430.578767999999</v>
      </c>
      <c r="J33" s="155">
        <f>+G33+I33</f>
        <v>31945.539502</v>
      </c>
      <c r="K33" s="155">
        <v>31786.519541999998</v>
      </c>
      <c r="L33" s="155">
        <f>+J33-K33</f>
        <v>159.01996000000145</v>
      </c>
      <c r="M33" s="156">
        <v>48000</v>
      </c>
      <c r="N33" s="156">
        <v>0</v>
      </c>
      <c r="O33" s="155">
        <f>+L33+N33</f>
        <v>159.01996000000145</v>
      </c>
      <c r="P33" s="155">
        <v>-417.77277700000002</v>
      </c>
      <c r="Q33" s="155">
        <f>+O33-P33</f>
        <v>576.79273700000147</v>
      </c>
    </row>
    <row r="34" spans="1:17" s="130" customFormat="1" x14ac:dyDescent="0.25">
      <c r="A34" s="154" t="s">
        <v>345</v>
      </c>
      <c r="B34" s="155">
        <v>50541.940208240005</v>
      </c>
      <c r="C34" s="155">
        <v>12985.258212818027</v>
      </c>
      <c r="D34" s="155">
        <v>66435.864677999998</v>
      </c>
      <c r="E34" s="155">
        <f>+C34+D34</f>
        <v>79421.12289081802</v>
      </c>
      <c r="F34" s="155">
        <v>59696.335098963333</v>
      </c>
      <c r="G34" s="155">
        <f>+E34-F34</f>
        <v>19724.787791854687</v>
      </c>
      <c r="H34" s="156">
        <v>68000</v>
      </c>
      <c r="I34" s="156">
        <v>147043.585375</v>
      </c>
      <c r="J34" s="155">
        <f>+G34+I34</f>
        <v>166768.37316685467</v>
      </c>
      <c r="K34" s="155">
        <v>94130.018430414173</v>
      </c>
      <c r="L34" s="155">
        <f>+J34-K34</f>
        <v>72638.354736440495</v>
      </c>
      <c r="M34" s="156">
        <v>106000</v>
      </c>
      <c r="N34" s="156">
        <v>47128.469385999997</v>
      </c>
      <c r="O34" s="155">
        <f>+L34+N34</f>
        <v>119766.82412244049</v>
      </c>
      <c r="P34" s="155">
        <v>23499.304928982983</v>
      </c>
      <c r="Q34" s="155">
        <f>+O34-P34</f>
        <v>96267.519193457512</v>
      </c>
    </row>
    <row r="35" spans="1:17" customFormat="1" x14ac:dyDescent="0.25">
      <c r="A35" s="157" t="s">
        <v>362</v>
      </c>
      <c r="B35" s="155">
        <v>35577.948942449999</v>
      </c>
      <c r="C35" s="155">
        <v>17616.137697071517</v>
      </c>
      <c r="D35" s="155">
        <v>25432.944931490001</v>
      </c>
      <c r="E35" s="155">
        <f t="shared" si="6"/>
        <v>43049.082628561519</v>
      </c>
      <c r="F35" s="155">
        <v>36147.028758406777</v>
      </c>
      <c r="G35" s="155">
        <f t="shared" si="7"/>
        <v>6902.0538701547412</v>
      </c>
      <c r="H35" s="156">
        <v>45000</v>
      </c>
      <c r="I35" s="156">
        <v>44760.529504130005</v>
      </c>
      <c r="J35" s="155">
        <f>+G35+I35</f>
        <v>51662.583374284746</v>
      </c>
      <c r="K35" s="155">
        <v>39005.401984448676</v>
      </c>
      <c r="L35" s="155">
        <f t="shared" si="8"/>
        <v>12657.181389836071</v>
      </c>
      <c r="M35" s="156">
        <v>32000</v>
      </c>
      <c r="N35" s="156">
        <v>42701.100394862726</v>
      </c>
      <c r="O35" s="155">
        <f>+L35+N35</f>
        <v>55358.281784698796</v>
      </c>
      <c r="P35" s="155">
        <v>30483.457428348484</v>
      </c>
      <c r="Q35" s="155">
        <f t="shared" ref="Q35:Q36" si="37">+O35-P35</f>
        <v>24874.824356350313</v>
      </c>
    </row>
    <row r="36" spans="1:17" customFormat="1" x14ac:dyDescent="0.25">
      <c r="A36" s="154" t="s">
        <v>379</v>
      </c>
      <c r="B36" s="155"/>
      <c r="C36" s="155"/>
      <c r="D36" s="155"/>
      <c r="E36" s="155"/>
      <c r="F36" s="155"/>
      <c r="G36" s="155">
        <v>0</v>
      </c>
      <c r="H36" s="156">
        <v>0</v>
      </c>
      <c r="I36" s="156">
        <v>1002.690844</v>
      </c>
      <c r="J36" s="155">
        <f>+G36+I36</f>
        <v>1002.690844</v>
      </c>
      <c r="K36" s="155">
        <v>971.81777299999999</v>
      </c>
      <c r="L36" s="155">
        <f t="shared" si="8"/>
        <v>30.873070999999982</v>
      </c>
      <c r="M36" s="156">
        <v>4000</v>
      </c>
      <c r="N36" s="156">
        <v>75.679810000000003</v>
      </c>
      <c r="O36" s="155">
        <f>+L36+N36</f>
        <v>106.55288099999999</v>
      </c>
      <c r="P36" s="155">
        <v>14.754091000000001</v>
      </c>
      <c r="Q36" s="155">
        <f t="shared" si="37"/>
        <v>91.798789999999983</v>
      </c>
    </row>
    <row r="37" spans="1:17" s="130" customFormat="1" ht="13" x14ac:dyDescent="0.3">
      <c r="A37" s="151" t="s">
        <v>367</v>
      </c>
      <c r="B37" s="153">
        <f>SUM(B38:B39)</f>
        <v>7242</v>
      </c>
      <c r="C37" s="153">
        <f t="shared" ref="C37:H37" si="38">SUM(C38:C39)</f>
        <v>1771.11879933</v>
      </c>
      <c r="D37" s="153">
        <f t="shared" si="38"/>
        <v>15258.783833719999</v>
      </c>
      <c r="E37" s="153">
        <f t="shared" si="38"/>
        <v>17029.902633049998</v>
      </c>
      <c r="F37" s="153">
        <f t="shared" si="38"/>
        <v>5415.5561747199999</v>
      </c>
      <c r="G37" s="153">
        <f t="shared" si="38"/>
        <v>11614.346458329999</v>
      </c>
      <c r="H37" s="153">
        <f t="shared" si="38"/>
        <v>26000</v>
      </c>
      <c r="I37" s="153">
        <f t="shared" ref="I37" si="39">SUM(I38:I39)</f>
        <v>15327.34018463</v>
      </c>
      <c r="J37" s="153">
        <f t="shared" ref="J37" si="40">SUM(J38:J39)</f>
        <v>26941.686642959998</v>
      </c>
      <c r="K37" s="153">
        <f t="shared" ref="K37" si="41">SUM(K38:K39)</f>
        <v>18504.982898036364</v>
      </c>
      <c r="L37" s="153">
        <f t="shared" ref="L37:P37" si="42">SUM(L38:L39)</f>
        <v>8436.7037449236341</v>
      </c>
      <c r="M37" s="153">
        <f t="shared" si="42"/>
        <v>37000</v>
      </c>
      <c r="N37" s="153">
        <f t="shared" si="42"/>
        <v>4956.6366938699994</v>
      </c>
      <c r="O37" s="153">
        <f t="shared" si="42"/>
        <v>13393.340438793635</v>
      </c>
      <c r="P37" s="153">
        <f t="shared" si="42"/>
        <v>6553.1820300399995</v>
      </c>
      <c r="Q37" s="153">
        <f t="shared" ref="Q37" si="43">SUM(Q38:Q39)</f>
        <v>6840.1584087536348</v>
      </c>
    </row>
    <row r="38" spans="1:17" customFormat="1" x14ac:dyDescent="0.25">
      <c r="A38" s="154" t="s">
        <v>37</v>
      </c>
      <c r="B38" s="155">
        <v>6094</v>
      </c>
      <c r="C38" s="155">
        <v>1771.11879933</v>
      </c>
      <c r="D38" s="155">
        <v>13513.18255272</v>
      </c>
      <c r="E38" s="155">
        <f>+C38+D38</f>
        <v>15284.301352049999</v>
      </c>
      <c r="F38" s="155">
        <v>4076.3996793599999</v>
      </c>
      <c r="G38" s="155">
        <f>+E38-F38</f>
        <v>11207.901672689999</v>
      </c>
      <c r="H38" s="156">
        <v>25000</v>
      </c>
      <c r="I38" s="156">
        <v>12920.32535872</v>
      </c>
      <c r="J38" s="155">
        <f>+G38+I38</f>
        <v>24128.227031409999</v>
      </c>
      <c r="K38" s="155">
        <v>15806.64076935</v>
      </c>
      <c r="L38" s="155">
        <f>+J38-K38</f>
        <v>8321.5862620599983</v>
      </c>
      <c r="M38" s="156">
        <v>34000</v>
      </c>
      <c r="N38" s="156">
        <v>2799.5725755999997</v>
      </c>
      <c r="O38" s="155">
        <f>+L38+N38</f>
        <v>11121.158837659998</v>
      </c>
      <c r="P38" s="155">
        <v>5507.0722527299995</v>
      </c>
      <c r="Q38" s="155">
        <f>+O38-P38</f>
        <v>5614.086584929998</v>
      </c>
    </row>
    <row r="39" spans="1:17" customFormat="1" x14ac:dyDescent="0.25">
      <c r="A39" s="154" t="s">
        <v>146</v>
      </c>
      <c r="B39" s="155">
        <v>1148</v>
      </c>
      <c r="C39" s="155">
        <v>0</v>
      </c>
      <c r="D39" s="155">
        <v>1745.601281</v>
      </c>
      <c r="E39" s="155">
        <f>+C39+D39</f>
        <v>1745.601281</v>
      </c>
      <c r="F39" s="155">
        <v>1339.1564953600002</v>
      </c>
      <c r="G39" s="155">
        <f>+E39-F39</f>
        <v>406.44478563999974</v>
      </c>
      <c r="H39" s="156">
        <v>1000</v>
      </c>
      <c r="I39" s="156">
        <v>2407.0148259100001</v>
      </c>
      <c r="J39" s="155">
        <f>+G39+I39</f>
        <v>2813.4596115499999</v>
      </c>
      <c r="K39" s="155">
        <v>2698.3421286863631</v>
      </c>
      <c r="L39" s="155">
        <f>+J39-K39</f>
        <v>115.11748286363672</v>
      </c>
      <c r="M39" s="156">
        <v>3000</v>
      </c>
      <c r="N39" s="156">
        <v>2157.0641182700001</v>
      </c>
      <c r="O39" s="155">
        <f>+L39+N39</f>
        <v>2272.1816011336368</v>
      </c>
      <c r="P39" s="155">
        <v>1046.1097773099998</v>
      </c>
      <c r="Q39" s="155">
        <f>+O39-P39</f>
        <v>1226.071823823637</v>
      </c>
    </row>
    <row r="40" spans="1:17" customFormat="1" ht="13" x14ac:dyDescent="0.3">
      <c r="A40" s="151" t="s">
        <v>380</v>
      </c>
      <c r="B40" s="155"/>
      <c r="C40" s="155"/>
      <c r="D40" s="155"/>
      <c r="E40" s="155"/>
      <c r="F40" s="155"/>
      <c r="G40" s="153">
        <f>G41</f>
        <v>0</v>
      </c>
      <c r="H40" s="153">
        <f t="shared" ref="H40:Q40" si="44">H41</f>
        <v>0</v>
      </c>
      <c r="I40" s="153">
        <f t="shared" si="44"/>
        <v>164.85</v>
      </c>
      <c r="J40" s="153">
        <f t="shared" si="44"/>
        <v>164.85</v>
      </c>
      <c r="K40" s="153">
        <f t="shared" si="44"/>
        <v>164.85</v>
      </c>
      <c r="L40" s="153">
        <f t="shared" si="44"/>
        <v>0</v>
      </c>
      <c r="M40" s="153">
        <f t="shared" si="44"/>
        <v>44000</v>
      </c>
      <c r="N40" s="153">
        <f t="shared" si="44"/>
        <v>11033.277668999999</v>
      </c>
      <c r="O40" s="153">
        <f t="shared" si="44"/>
        <v>11033.277668999999</v>
      </c>
      <c r="P40" s="153">
        <f t="shared" si="44"/>
        <v>3656.3272270000002</v>
      </c>
      <c r="Q40" s="153">
        <f t="shared" si="44"/>
        <v>7376.9504419999994</v>
      </c>
    </row>
    <row r="41" spans="1:17" customFormat="1" ht="13" x14ac:dyDescent="0.3">
      <c r="A41" s="151" t="s">
        <v>381</v>
      </c>
      <c r="B41" s="155"/>
      <c r="C41" s="155"/>
      <c r="D41" s="155"/>
      <c r="E41" s="155"/>
      <c r="F41" s="155"/>
      <c r="G41" s="155">
        <v>0</v>
      </c>
      <c r="H41" s="156">
        <v>0</v>
      </c>
      <c r="I41" s="156">
        <v>164.85</v>
      </c>
      <c r="J41" s="155">
        <f>+G41+I41</f>
        <v>164.85</v>
      </c>
      <c r="K41" s="155">
        <v>164.85</v>
      </c>
      <c r="L41" s="155">
        <f>+J41-K41</f>
        <v>0</v>
      </c>
      <c r="M41" s="156">
        <v>44000</v>
      </c>
      <c r="N41" s="156">
        <v>11033.277668999999</v>
      </c>
      <c r="O41" s="155">
        <f>+L41+N41</f>
        <v>11033.277668999999</v>
      </c>
      <c r="P41" s="155">
        <v>3656.3272270000002</v>
      </c>
      <c r="Q41" s="155">
        <f>+O41-P41</f>
        <v>7376.9504419999994</v>
      </c>
    </row>
    <row r="42" spans="1:17" customFormat="1" ht="13" x14ac:dyDescent="0.3">
      <c r="A42" s="151"/>
      <c r="B42" s="155"/>
      <c r="C42" s="155"/>
      <c r="D42" s="155"/>
      <c r="E42" s="155"/>
      <c r="F42" s="155"/>
      <c r="G42" s="155"/>
      <c r="H42" s="156"/>
      <c r="I42" s="156"/>
      <c r="J42" s="155"/>
      <c r="K42" s="155"/>
      <c r="L42" s="155"/>
      <c r="M42" s="156"/>
      <c r="N42" s="156"/>
      <c r="O42" s="155"/>
      <c r="P42" s="155"/>
      <c r="Q42" s="155"/>
    </row>
    <row r="43" spans="1:17" customFormat="1" x14ac:dyDescent="0.25">
      <c r="A43" s="154" t="s">
        <v>370</v>
      </c>
      <c r="B43" s="155">
        <f t="shared" ref="B43:L43" si="45">B11+B12+B16+B34</f>
        <v>369072.10424520844</v>
      </c>
      <c r="C43" s="155">
        <f t="shared" si="45"/>
        <v>305977.40014333004</v>
      </c>
      <c r="D43" s="155">
        <f t="shared" si="45"/>
        <v>382820.53346081002</v>
      </c>
      <c r="E43" s="155">
        <f t="shared" si="45"/>
        <v>688797.93360413995</v>
      </c>
      <c r="F43" s="155">
        <f t="shared" si="45"/>
        <v>345505.60789830261</v>
      </c>
      <c r="G43" s="155">
        <f t="shared" si="45"/>
        <v>343292.32570583746</v>
      </c>
      <c r="H43" s="155">
        <f t="shared" si="45"/>
        <v>388000</v>
      </c>
      <c r="I43" s="155">
        <f t="shared" si="45"/>
        <v>229698.20803187002</v>
      </c>
      <c r="J43" s="155">
        <f t="shared" si="45"/>
        <v>572990.53373770742</v>
      </c>
      <c r="K43" s="155">
        <f t="shared" si="45"/>
        <v>276085.03816507471</v>
      </c>
      <c r="L43" s="155">
        <f t="shared" si="45"/>
        <v>296905.4955726327</v>
      </c>
      <c r="M43" s="155">
        <f t="shared" ref="M43:Q43" si="46">M11+M12+M16+M34</f>
        <v>355000</v>
      </c>
      <c r="N43" s="155">
        <f t="shared" si="46"/>
        <v>80277.893416900013</v>
      </c>
      <c r="O43" s="155">
        <f t="shared" si="46"/>
        <v>377183.38898953272</v>
      </c>
      <c r="P43" s="155">
        <f t="shared" si="46"/>
        <v>94676.919127982925</v>
      </c>
      <c r="Q43" s="155">
        <f t="shared" si="46"/>
        <v>282506.46986154979</v>
      </c>
    </row>
    <row r="44" spans="1:17" customFormat="1" x14ac:dyDescent="0.25">
      <c r="A44" s="154" t="s">
        <v>371</v>
      </c>
      <c r="B44" s="155">
        <f>B10+B15+B20+B25+B32+B38+B26+B33</f>
        <v>514281.26526811626</v>
      </c>
      <c r="C44" s="155">
        <f>C10+C15+C20+C25+C32+C38+C26+C33</f>
        <v>244979.80065493926</v>
      </c>
      <c r="D44" s="155">
        <f>D10+D15+D20+D25+D32+D38+D26+D33</f>
        <v>470404.40562218009</v>
      </c>
      <c r="E44" s="155">
        <f>E10+E15+E20+E25+E32+E38+E26+E33</f>
        <v>715384.20627711935</v>
      </c>
      <c r="F44" s="155">
        <f>F10+F15+F20+F25+F32+F38+F26+F33</f>
        <v>503700.36656717543</v>
      </c>
      <c r="G44" s="155">
        <f>G10+G15+G20+G25+G32+G38+G26+G33+G21</f>
        <v>211683.83970994386</v>
      </c>
      <c r="H44" s="155">
        <f t="shared" ref="H44:L44" si="47">H10+H15+H20+H25+H32+H38+H26+H33+H21</f>
        <v>575000</v>
      </c>
      <c r="I44" s="155">
        <f t="shared" si="47"/>
        <v>445973.75897002005</v>
      </c>
      <c r="J44" s="155">
        <f t="shared" si="47"/>
        <v>657657.59867996373</v>
      </c>
      <c r="K44" s="155">
        <f t="shared" si="47"/>
        <v>384324.90403438493</v>
      </c>
      <c r="L44" s="155">
        <f t="shared" si="47"/>
        <v>273332.69464557897</v>
      </c>
      <c r="M44" s="155">
        <f t="shared" ref="M44:Q44" si="48">M10+M15+M20+M25+M32+M38+M26+M33+M21</f>
        <v>550000</v>
      </c>
      <c r="N44" s="155">
        <f t="shared" si="48"/>
        <v>589583.33630405995</v>
      </c>
      <c r="O44" s="155">
        <f t="shared" si="48"/>
        <v>862916.03094963881</v>
      </c>
      <c r="P44" s="155">
        <f t="shared" si="48"/>
        <v>367378.91296444269</v>
      </c>
      <c r="Q44" s="155">
        <f t="shared" si="48"/>
        <v>495537.11798519618</v>
      </c>
    </row>
    <row r="45" spans="1:17" customFormat="1" x14ac:dyDescent="0.25">
      <c r="A45" s="154" t="s">
        <v>372</v>
      </c>
      <c r="B45" s="155">
        <f>B17+B22+B27+B28+B35+B39</f>
        <v>178155.17117061702</v>
      </c>
      <c r="C45" s="155">
        <f>C17+C22+C27+C28+C35+C39</f>
        <v>94637.260925811628</v>
      </c>
      <c r="D45" s="155">
        <f>D17+D22+D27+D28+D35+D39</f>
        <v>233204.18224492</v>
      </c>
      <c r="E45" s="155">
        <f>E17+E22+E27+E28+E35+E39</f>
        <v>327841.4431707316</v>
      </c>
      <c r="F45" s="155">
        <f>F17+F22+F27+F28+F35+F39</f>
        <v>181569.08701887855</v>
      </c>
      <c r="G45" s="155">
        <f>G17+G22+G27+G28+G35+G39+G36</f>
        <v>146272.35615185302</v>
      </c>
      <c r="H45" s="155">
        <f t="shared" ref="H45:L45" si="49">H17+H22+H27+H28+H35+H39+H36</f>
        <v>212000</v>
      </c>
      <c r="I45" s="155">
        <f t="shared" si="49"/>
        <v>202762.46960846003</v>
      </c>
      <c r="J45" s="155">
        <f t="shared" si="49"/>
        <v>349034.82576031302</v>
      </c>
      <c r="K45" s="155">
        <f t="shared" si="49"/>
        <v>218029.3798350576</v>
      </c>
      <c r="L45" s="155">
        <f t="shared" si="49"/>
        <v>131005.44592525544</v>
      </c>
      <c r="M45" s="155">
        <f t="shared" ref="M45:Q45" si="50">M17+M22+M27+M28+M35+M39+M36</f>
        <v>277000</v>
      </c>
      <c r="N45" s="155">
        <f t="shared" si="50"/>
        <v>95845.304428979027</v>
      </c>
      <c r="O45" s="155">
        <f t="shared" si="50"/>
        <v>226850.75035423448</v>
      </c>
      <c r="P45" s="155">
        <f t="shared" si="50"/>
        <v>150451.87259625067</v>
      </c>
      <c r="Q45" s="155">
        <f t="shared" si="50"/>
        <v>76398.877757983777</v>
      </c>
    </row>
    <row r="46" spans="1:17" customFormat="1" x14ac:dyDescent="0.25">
      <c r="A46" s="154" t="s">
        <v>373</v>
      </c>
      <c r="B46" s="155">
        <f t="shared" ref="B46:L46" si="51">B18+B29+B13</f>
        <v>46936.351622549999</v>
      </c>
      <c r="C46" s="155">
        <f t="shared" si="51"/>
        <v>31431.306090826663</v>
      </c>
      <c r="D46" s="155">
        <f t="shared" si="51"/>
        <v>31210.483229939997</v>
      </c>
      <c r="E46" s="155">
        <f t="shared" si="51"/>
        <v>62641.789320766664</v>
      </c>
      <c r="F46" s="155">
        <f t="shared" si="51"/>
        <v>43083.947874953868</v>
      </c>
      <c r="G46" s="155">
        <f t="shared" si="51"/>
        <v>19557.841445812795</v>
      </c>
      <c r="H46" s="155">
        <f t="shared" si="51"/>
        <v>75000</v>
      </c>
      <c r="I46" s="155">
        <f t="shared" si="51"/>
        <v>53786.623717409995</v>
      </c>
      <c r="J46" s="155">
        <f t="shared" si="51"/>
        <v>73344.465163222791</v>
      </c>
      <c r="K46" s="155">
        <f t="shared" si="51"/>
        <v>65726.768674051258</v>
      </c>
      <c r="L46" s="155">
        <f t="shared" si="51"/>
        <v>7617.6964891715306</v>
      </c>
      <c r="M46" s="155">
        <f>M18+M29+M13</f>
        <v>24000</v>
      </c>
      <c r="N46" s="155">
        <f>N18+N29+N13</f>
        <v>84656.07133400999</v>
      </c>
      <c r="O46" s="155">
        <f>O18+O29+O13</f>
        <v>92273.767823181523</v>
      </c>
      <c r="P46" s="155">
        <f>P18+P29+P13</f>
        <v>37917.592586872706</v>
      </c>
      <c r="Q46" s="155">
        <f>Q18+Q29+Q13</f>
        <v>54356.175236308816</v>
      </c>
    </row>
    <row r="47" spans="1:17" customFormat="1" x14ac:dyDescent="0.25">
      <c r="A47" s="154" t="s">
        <v>382</v>
      </c>
      <c r="B47" s="155"/>
      <c r="C47" s="155"/>
      <c r="D47" s="155"/>
      <c r="E47" s="155"/>
      <c r="F47" s="155"/>
      <c r="G47" s="155">
        <f>+G40</f>
        <v>0</v>
      </c>
      <c r="H47" s="155">
        <f t="shared" ref="H47:M47" si="52">+H40</f>
        <v>0</v>
      </c>
      <c r="I47" s="155">
        <f t="shared" si="52"/>
        <v>164.85</v>
      </c>
      <c r="J47" s="155">
        <f t="shared" si="52"/>
        <v>164.85</v>
      </c>
      <c r="K47" s="155">
        <f t="shared" si="52"/>
        <v>164.85</v>
      </c>
      <c r="L47" s="155">
        <f t="shared" si="52"/>
        <v>0</v>
      </c>
      <c r="M47" s="155">
        <f t="shared" si="52"/>
        <v>44000</v>
      </c>
      <c r="N47" s="155">
        <f t="shared" ref="N47:Q47" si="53">+N40</f>
        <v>11033.277668999999</v>
      </c>
      <c r="O47" s="155">
        <f t="shared" si="53"/>
        <v>11033.277668999999</v>
      </c>
      <c r="P47" s="155">
        <f t="shared" si="53"/>
        <v>3656.3272270000002</v>
      </c>
      <c r="Q47" s="155">
        <f t="shared" si="53"/>
        <v>7376.9504419999994</v>
      </c>
    </row>
    <row r="48" spans="1:17" customFormat="1" x14ac:dyDescent="0.25">
      <c r="A48" s="159"/>
      <c r="B48" s="155"/>
      <c r="C48" s="155"/>
      <c r="D48" s="155"/>
      <c r="E48" s="155"/>
      <c r="F48" s="155"/>
      <c r="G48" s="155"/>
      <c r="H48" s="156"/>
      <c r="I48" s="156"/>
      <c r="J48" s="155"/>
      <c r="K48" s="155"/>
      <c r="L48" s="155"/>
      <c r="M48" s="156"/>
      <c r="N48" s="156"/>
      <c r="O48" s="155"/>
      <c r="P48" s="155"/>
      <c r="Q48" s="155"/>
    </row>
    <row r="49" spans="1:19" customFormat="1" ht="13" x14ac:dyDescent="0.3">
      <c r="A49" s="147" t="s">
        <v>12</v>
      </c>
      <c r="B49" s="158">
        <f>B37+B31+B24+B19+B14+B9</f>
        <v>1108444.8923064917</v>
      </c>
      <c r="C49" s="158">
        <f>C37+C31+C24+C19+C14+C9</f>
        <v>677025.76781490748</v>
      </c>
      <c r="D49" s="158">
        <f>D37+D31+D24+D19+D14+D9</f>
        <v>1117639.6045578499</v>
      </c>
      <c r="E49" s="158">
        <f>E37+E31+E24+E19+E14+E9</f>
        <v>1794665.3723727576</v>
      </c>
      <c r="F49" s="158">
        <f>F37+F31+F24+F19+F14+F9</f>
        <v>1073859.0093593104</v>
      </c>
      <c r="G49" s="158">
        <f t="shared" ref="G49:J49" si="54">G37+G31+G24+G19+G14+G9+G40</f>
        <v>720806.36301344726</v>
      </c>
      <c r="H49" s="158">
        <f t="shared" si="54"/>
        <v>1250000</v>
      </c>
      <c r="I49" s="158">
        <f t="shared" si="54"/>
        <v>932385.91032776004</v>
      </c>
      <c r="J49" s="158">
        <f t="shared" si="54"/>
        <v>1653192.2733412075</v>
      </c>
      <c r="K49" s="158">
        <f>K37+K31+K24+K19+K14+K9+K40</f>
        <v>944330.94070856844</v>
      </c>
      <c r="L49" s="158">
        <f>L37+L31+L24+L19+L14+L9+L40</f>
        <v>708861.33263263863</v>
      </c>
      <c r="M49" s="158">
        <f t="shared" ref="M49:O49" si="55">M37+M31+M24+M19+M14+M9+M40</f>
        <v>1250000</v>
      </c>
      <c r="N49" s="158">
        <f t="shared" si="55"/>
        <v>861395.88315294893</v>
      </c>
      <c r="O49" s="158">
        <f t="shared" si="55"/>
        <v>1570257.2157855879</v>
      </c>
      <c r="P49" s="158">
        <f>P37+P31+P24+P19+P14+P9+P40</f>
        <v>654081.62450254906</v>
      </c>
      <c r="Q49" s="158">
        <f>Q37+Q31+Q24+Q19+Q14+Q9+Q40</f>
        <v>916175.59128303849</v>
      </c>
      <c r="S49" s="76">
        <f>SUM(Q43:Q46)</f>
        <v>908798.64084103855</v>
      </c>
    </row>
    <row r="50" spans="1:19" customFormat="1" ht="13" hidden="1" x14ac:dyDescent="0.3">
      <c r="A50" s="159"/>
      <c r="B50" s="159"/>
      <c r="C50" s="160">
        <f>+C49/B49</f>
        <v>0.61078883805051243</v>
      </c>
      <c r="D50" s="159"/>
      <c r="E50" s="160">
        <f>+E49/B49</f>
        <v>1.6190839840836415</v>
      </c>
      <c r="F50" s="160"/>
      <c r="G50" s="160">
        <f>G49/H49</f>
        <v>0.57664509041075784</v>
      </c>
      <c r="H50" s="160"/>
      <c r="I50" s="161"/>
      <c r="J50" s="160">
        <f>+J49/H49</f>
        <v>1.322553818672966</v>
      </c>
      <c r="K50" s="160"/>
      <c r="L50" s="160" t="s">
        <v>384</v>
      </c>
      <c r="M50" s="160"/>
      <c r="N50" s="161"/>
      <c r="O50" s="160">
        <f>+O49/M49</f>
        <v>1.2562057726284703</v>
      </c>
      <c r="P50" s="160"/>
      <c r="Q50" s="160" t="s">
        <v>384</v>
      </c>
    </row>
    <row r="51" spans="1:19" customFormat="1" ht="13" hidden="1" x14ac:dyDescent="0.3">
      <c r="E51" s="25" t="e">
        <f>E49/#REF!</f>
        <v>#REF!</v>
      </c>
      <c r="F51" s="25"/>
      <c r="G51" s="25"/>
      <c r="H51" s="25"/>
      <c r="I51" s="133"/>
      <c r="J51" s="25" t="e">
        <f>J49/#REF!</f>
        <v>#REF!</v>
      </c>
      <c r="K51" s="25"/>
      <c r="L51" s="25"/>
      <c r="M51" s="25"/>
      <c r="N51" s="133"/>
      <c r="O51" s="25" t="e">
        <f>O49/#REF!</f>
        <v>#REF!</v>
      </c>
      <c r="P51" s="25"/>
      <c r="Q51" s="25"/>
    </row>
    <row r="52" spans="1:19" x14ac:dyDescent="0.25">
      <c r="C52" s="29"/>
      <c r="D52" s="29"/>
      <c r="E52" s="29"/>
      <c r="F52" s="29"/>
      <c r="G52" s="29"/>
      <c r="H52" s="29"/>
      <c r="J52" s="29"/>
      <c r="K52" s="29">
        <f>+K49-'[1]laba rugi akumulated'!$I$11</f>
        <v>0</v>
      </c>
      <c r="L52" s="29"/>
      <c r="M52" s="29"/>
      <c r="O52" s="29"/>
      <c r="P52" s="29">
        <f>+P49-'[2]laba rugi akumulated'!$I$12/10^6</f>
        <v>0</v>
      </c>
      <c r="Q52" s="29"/>
    </row>
    <row r="53" spans="1:19" customFormat="1" x14ac:dyDescent="0.25">
      <c r="B53" s="32"/>
      <c r="C53" s="32"/>
      <c r="D53" s="32"/>
      <c r="E53" s="32"/>
      <c r="F53" s="116"/>
      <c r="G53" s="116">
        <f>G49-M9</f>
        <v>551806.36301344726</v>
      </c>
      <c r="H53" s="116">
        <f t="shared" ref="H53:L53" si="56">SUM(H43:H47)-H49</f>
        <v>0</v>
      </c>
      <c r="I53" s="116">
        <f t="shared" si="56"/>
        <v>0</v>
      </c>
      <c r="J53" s="116">
        <f t="shared" si="56"/>
        <v>0</v>
      </c>
      <c r="K53" s="116">
        <f t="shared" si="56"/>
        <v>0</v>
      </c>
      <c r="L53" s="116">
        <f t="shared" si="56"/>
        <v>0</v>
      </c>
      <c r="M53" s="116">
        <f t="shared" ref="M53:Q53" si="57">SUM(M43:M47)-M49</f>
        <v>0</v>
      </c>
      <c r="N53" s="116">
        <f t="shared" si="57"/>
        <v>0</v>
      </c>
      <c r="O53" s="116">
        <f t="shared" si="57"/>
        <v>0</v>
      </c>
      <c r="P53" s="116">
        <f t="shared" si="57"/>
        <v>0</v>
      </c>
      <c r="Q53" s="116">
        <f t="shared" si="57"/>
        <v>0</v>
      </c>
    </row>
    <row r="54" spans="1:19" s="32" customFormat="1" x14ac:dyDescent="0.25">
      <c r="A54" s="32" t="s">
        <v>389</v>
      </c>
      <c r="G54" s="120"/>
      <c r="H54" s="120"/>
      <c r="I54" s="134"/>
      <c r="L54" s="120"/>
      <c r="M54" s="120"/>
      <c r="N54" s="134"/>
      <c r="Q54" s="120"/>
    </row>
    <row r="55" spans="1:19" customFormat="1" ht="13" x14ac:dyDescent="0.3">
      <c r="B55" s="35"/>
      <c r="C55" s="35"/>
      <c r="D55" s="35"/>
      <c r="E55" s="35"/>
      <c r="F55" s="35"/>
      <c r="G55" s="121"/>
      <c r="H55" s="121"/>
      <c r="I55" s="133"/>
      <c r="J55" s="35"/>
      <c r="K55" s="35"/>
      <c r="L55" s="121"/>
      <c r="M55" s="121"/>
      <c r="N55" s="133">
        <f>+N49-N47</f>
        <v>850362.60548394895</v>
      </c>
      <c r="O55" s="35"/>
      <c r="P55" s="163">
        <f>+P49-P40</f>
        <v>650425.29727554903</v>
      </c>
      <c r="Q55" s="121"/>
    </row>
    <row r="56" spans="1:19" customFormat="1" ht="13" x14ac:dyDescent="0.3">
      <c r="B56" s="35"/>
      <c r="C56" s="35"/>
      <c r="D56" s="35"/>
      <c r="E56" s="35"/>
      <c r="F56" s="35"/>
      <c r="G56" s="121"/>
      <c r="H56" s="121"/>
      <c r="I56" s="133"/>
      <c r="J56" s="35"/>
      <c r="K56" s="35"/>
      <c r="L56" s="121"/>
      <c r="M56" s="121"/>
      <c r="N56" s="133"/>
      <c r="O56" s="35"/>
      <c r="P56" s="35"/>
      <c r="Q56" s="121"/>
    </row>
    <row r="57" spans="1:19" s="40" customFormat="1" ht="13" hidden="1" x14ac:dyDescent="0.25">
      <c r="A57" s="36" t="s">
        <v>43</v>
      </c>
      <c r="B57" s="37"/>
      <c r="C57" s="37"/>
      <c r="D57" s="38"/>
      <c r="E57" s="39"/>
      <c r="F57" s="39"/>
      <c r="G57" s="39"/>
      <c r="H57" s="39"/>
      <c r="I57" s="135"/>
      <c r="J57" s="39"/>
      <c r="K57" s="39"/>
      <c r="L57" s="39"/>
      <c r="M57" s="39"/>
      <c r="N57" s="135"/>
      <c r="O57" s="39"/>
      <c r="P57" s="39"/>
      <c r="Q57" s="39"/>
    </row>
    <row r="58" spans="1:19" s="40" customFormat="1" hidden="1" x14ac:dyDescent="0.25">
      <c r="A58" s="42" t="s">
        <v>44</v>
      </c>
      <c r="B58" s="43">
        <v>90000</v>
      </c>
      <c r="C58" s="43"/>
      <c r="D58" s="43"/>
      <c r="E58" s="44"/>
      <c r="F58" s="44"/>
      <c r="G58" s="44"/>
      <c r="H58" s="44"/>
      <c r="I58" s="135"/>
      <c r="J58" s="44"/>
      <c r="K58" s="44"/>
      <c r="L58" s="44"/>
      <c r="M58" s="44"/>
      <c r="N58" s="135"/>
      <c r="O58" s="44"/>
      <c r="P58" s="44"/>
      <c r="Q58" s="44"/>
    </row>
    <row r="59" spans="1:19" s="46" customFormat="1" hidden="1" x14ac:dyDescent="0.25">
      <c r="A59" s="45" t="s">
        <v>45</v>
      </c>
      <c r="C59" s="47"/>
      <c r="D59" s="47"/>
      <c r="E59" s="48"/>
      <c r="F59" s="48"/>
      <c r="G59" s="48"/>
      <c r="H59" s="48"/>
      <c r="I59" s="136"/>
      <c r="J59" s="48"/>
      <c r="K59" s="48"/>
      <c r="L59" s="48"/>
      <c r="M59" s="48"/>
      <c r="N59" s="136"/>
      <c r="O59" s="48"/>
      <c r="P59" s="48"/>
      <c r="Q59" s="48"/>
    </row>
    <row r="60" spans="1:19" s="46" customFormat="1" hidden="1" x14ac:dyDescent="0.25">
      <c r="A60" s="45" t="s">
        <v>46</v>
      </c>
      <c r="C60" s="47"/>
      <c r="D60" s="47"/>
      <c r="E60" s="48"/>
      <c r="F60" s="48"/>
      <c r="G60" s="48"/>
      <c r="H60" s="48"/>
      <c r="I60" s="136"/>
      <c r="J60" s="48"/>
      <c r="K60" s="48"/>
      <c r="L60" s="48"/>
      <c r="M60" s="48"/>
      <c r="N60" s="136"/>
      <c r="O60" s="48"/>
      <c r="P60" s="48"/>
      <c r="Q60" s="48"/>
    </row>
    <row r="61" spans="1:19" s="40" customFormat="1" hidden="1" x14ac:dyDescent="0.25">
      <c r="A61" s="42" t="s">
        <v>47</v>
      </c>
      <c r="B61" s="43"/>
      <c r="C61" s="43"/>
      <c r="D61" s="43"/>
      <c r="E61" s="44"/>
      <c r="F61" s="44"/>
      <c r="G61" s="44"/>
      <c r="H61" s="44"/>
      <c r="I61" s="135"/>
      <c r="J61" s="44"/>
      <c r="K61" s="44"/>
      <c r="L61" s="44"/>
      <c r="M61" s="44"/>
      <c r="N61" s="135"/>
      <c r="O61" s="44"/>
      <c r="P61" s="44"/>
      <c r="Q61" s="44"/>
    </row>
    <row r="62" spans="1:19" s="40" customFormat="1" hidden="1" x14ac:dyDescent="0.25">
      <c r="A62" s="42" t="s">
        <v>48</v>
      </c>
      <c r="B62" s="43">
        <v>65000</v>
      </c>
      <c r="C62" s="43"/>
      <c r="D62" s="43"/>
      <c r="E62" s="44"/>
      <c r="F62" s="44"/>
      <c r="G62" s="44"/>
      <c r="H62" s="44"/>
      <c r="I62" s="135"/>
      <c r="J62" s="44"/>
      <c r="K62" s="44"/>
      <c r="L62" s="44"/>
      <c r="M62" s="44"/>
      <c r="N62" s="135"/>
      <c r="O62" s="44"/>
      <c r="P62" s="44"/>
      <c r="Q62" s="44"/>
    </row>
    <row r="63" spans="1:19" s="40" customFormat="1" hidden="1" x14ac:dyDescent="0.25">
      <c r="A63" s="42" t="s">
        <v>49</v>
      </c>
      <c r="B63" s="43">
        <v>14000</v>
      </c>
      <c r="C63" s="43"/>
      <c r="D63" s="43"/>
      <c r="E63" s="44"/>
      <c r="F63" s="44"/>
      <c r="G63" s="44"/>
      <c r="H63" s="44"/>
      <c r="I63" s="135"/>
      <c r="J63" s="44"/>
      <c r="K63" s="44"/>
      <c r="L63" s="44"/>
      <c r="M63" s="44"/>
      <c r="N63" s="135"/>
      <c r="O63" s="44"/>
      <c r="P63" s="44"/>
      <c r="Q63" s="44"/>
    </row>
    <row r="64" spans="1:19" s="46" customFormat="1" hidden="1" x14ac:dyDescent="0.25">
      <c r="A64" s="45" t="s">
        <v>50</v>
      </c>
      <c r="B64" s="47"/>
      <c r="C64" s="47"/>
      <c r="D64" s="47"/>
      <c r="E64" s="48"/>
      <c r="F64" s="48"/>
      <c r="G64" s="48"/>
      <c r="H64" s="48"/>
      <c r="I64" s="136"/>
      <c r="J64" s="48"/>
      <c r="K64" s="48"/>
      <c r="L64" s="48"/>
      <c r="M64" s="48"/>
      <c r="N64" s="136"/>
      <c r="O64" s="48"/>
      <c r="P64" s="48"/>
      <c r="Q64" s="48"/>
    </row>
    <row r="65" spans="1:17" s="40" customFormat="1" hidden="1" x14ac:dyDescent="0.25">
      <c r="A65" s="42" t="s">
        <v>51</v>
      </c>
      <c r="B65" s="43">
        <v>30000</v>
      </c>
      <c r="C65" s="43"/>
      <c r="D65" s="43"/>
      <c r="E65" s="44"/>
      <c r="F65" s="44"/>
      <c r="G65" s="44"/>
      <c r="H65" s="44"/>
      <c r="I65" s="135"/>
      <c r="J65" s="44"/>
      <c r="K65" s="44"/>
      <c r="L65" s="44"/>
      <c r="M65" s="44"/>
      <c r="N65" s="135"/>
      <c r="O65" s="44"/>
      <c r="P65" s="44"/>
      <c r="Q65" s="44"/>
    </row>
    <row r="66" spans="1:17" s="40" customFormat="1" hidden="1" x14ac:dyDescent="0.25">
      <c r="A66" s="42"/>
      <c r="B66" s="43"/>
      <c r="C66" s="43"/>
      <c r="D66" s="43"/>
      <c r="E66" s="44"/>
      <c r="F66" s="44"/>
      <c r="G66" s="44"/>
      <c r="H66" s="44"/>
      <c r="I66" s="135"/>
      <c r="J66" s="44"/>
      <c r="K66" s="44"/>
      <c r="L66" s="44"/>
      <c r="M66" s="44"/>
      <c r="N66" s="135"/>
      <c r="O66" s="44"/>
      <c r="P66" s="44"/>
      <c r="Q66" s="44"/>
    </row>
    <row r="67" spans="1:17" s="40" customFormat="1" ht="13" hidden="1" x14ac:dyDescent="0.25">
      <c r="A67" s="51"/>
      <c r="B67" s="52">
        <f>SUM(B58:B65)</f>
        <v>199000</v>
      </c>
      <c r="C67" s="52">
        <f>SUM(C58:C65)</f>
        <v>0</v>
      </c>
      <c r="D67" s="52">
        <f>SUM(D58:D65)</f>
        <v>0</v>
      </c>
      <c r="E67" s="53">
        <f>B67+D67</f>
        <v>199000</v>
      </c>
      <c r="F67" s="55"/>
      <c r="G67" s="55"/>
      <c r="H67" s="55"/>
      <c r="I67" s="135"/>
      <c r="J67" s="53" t="e">
        <f>#REF!+I67</f>
        <v>#REF!</v>
      </c>
      <c r="K67" s="55"/>
      <c r="L67" s="55"/>
      <c r="M67" s="55"/>
      <c r="N67" s="135"/>
      <c r="O67" s="53" t="e">
        <f>#REF!+N67</f>
        <v>#REF!</v>
      </c>
      <c r="P67" s="55"/>
      <c r="Q67" s="55"/>
    </row>
    <row r="68" spans="1:17" s="40" customFormat="1" ht="13" hidden="1" x14ac:dyDescent="0.25">
      <c r="A68" s="51"/>
      <c r="B68" s="58"/>
      <c r="C68" s="58"/>
      <c r="D68" s="58"/>
      <c r="E68" s="55"/>
      <c r="F68" s="55"/>
      <c r="G68" s="55"/>
      <c r="H68" s="55"/>
      <c r="I68" s="135"/>
      <c r="J68" s="55"/>
      <c r="K68" s="55"/>
      <c r="L68" s="55"/>
      <c r="M68" s="55"/>
      <c r="N68" s="135"/>
      <c r="O68" s="55"/>
      <c r="P68" s="55"/>
      <c r="Q68" s="55"/>
    </row>
    <row r="69" spans="1:17" s="40" customFormat="1" ht="13" hidden="1" x14ac:dyDescent="0.25">
      <c r="A69" s="36" t="s">
        <v>52</v>
      </c>
      <c r="B69" s="59"/>
      <c r="C69" s="43"/>
      <c r="D69" s="59"/>
      <c r="E69" s="59"/>
      <c r="F69" s="59"/>
      <c r="G69" s="59"/>
      <c r="H69" s="59"/>
      <c r="I69" s="135"/>
      <c r="J69" s="59"/>
      <c r="K69" s="59"/>
      <c r="L69" s="59"/>
      <c r="M69" s="59"/>
      <c r="N69" s="135"/>
      <c r="O69" s="59"/>
      <c r="P69" s="59"/>
      <c r="Q69" s="59"/>
    </row>
    <row r="70" spans="1:17" s="40" customFormat="1" hidden="1" x14ac:dyDescent="0.25">
      <c r="A70" s="42" t="s">
        <v>53</v>
      </c>
      <c r="B70" s="59">
        <v>6000</v>
      </c>
      <c r="C70" s="59"/>
      <c r="D70" s="59"/>
      <c r="E70" s="44"/>
      <c r="F70" s="44"/>
      <c r="G70" s="44"/>
      <c r="H70" s="44"/>
      <c r="I70" s="135"/>
      <c r="J70" s="44"/>
      <c r="K70" s="44"/>
      <c r="L70" s="44"/>
      <c r="M70" s="44"/>
      <c r="N70" s="135"/>
      <c r="O70" s="44"/>
      <c r="P70" s="44"/>
      <c r="Q70" s="44"/>
    </row>
    <row r="71" spans="1:17" s="61" customFormat="1" hidden="1" x14ac:dyDescent="0.25">
      <c r="A71" s="42" t="s">
        <v>54</v>
      </c>
      <c r="B71" s="60">
        <v>28000</v>
      </c>
      <c r="C71" s="59"/>
      <c r="D71" s="59"/>
      <c r="E71" s="44"/>
      <c r="F71" s="44"/>
      <c r="G71" s="44"/>
      <c r="H71" s="44"/>
      <c r="I71" s="137"/>
      <c r="J71" s="44"/>
      <c r="K71" s="44"/>
      <c r="L71" s="44"/>
      <c r="M71" s="44"/>
      <c r="N71" s="137"/>
      <c r="O71" s="44"/>
      <c r="P71" s="44"/>
      <c r="Q71" s="44"/>
    </row>
    <row r="72" spans="1:17" s="61" customFormat="1" hidden="1" x14ac:dyDescent="0.25">
      <c r="A72" s="42" t="s">
        <v>55</v>
      </c>
      <c r="B72" s="63">
        <v>350</v>
      </c>
      <c r="C72" s="59">
        <f>(3700000)</f>
        <v>3700000</v>
      </c>
      <c r="D72" s="59">
        <f>C72*12000/1000000</f>
        <v>44400</v>
      </c>
      <c r="E72" s="44"/>
      <c r="F72" s="44"/>
      <c r="G72" s="44"/>
      <c r="H72" s="44"/>
      <c r="I72" s="137"/>
      <c r="J72" s="44"/>
      <c r="K72" s="44"/>
      <c r="L72" s="44"/>
      <c r="M72" s="44"/>
      <c r="N72" s="137"/>
      <c r="O72" s="44"/>
      <c r="P72" s="44"/>
      <c r="Q72" s="44"/>
    </row>
    <row r="73" spans="1:17" s="61" customFormat="1" hidden="1" x14ac:dyDescent="0.25">
      <c r="A73" s="42" t="s">
        <v>56</v>
      </c>
      <c r="B73" s="59"/>
      <c r="C73" s="59">
        <v>100000</v>
      </c>
      <c r="D73" s="59">
        <f>C73*13000/1000000</f>
        <v>1300</v>
      </c>
      <c r="E73" s="44"/>
      <c r="F73" s="44"/>
      <c r="G73" s="44"/>
      <c r="H73" s="44"/>
      <c r="I73" s="137"/>
      <c r="J73" s="44"/>
      <c r="K73" s="44"/>
      <c r="L73" s="44"/>
      <c r="M73" s="44"/>
      <c r="N73" s="137"/>
      <c r="O73" s="44"/>
      <c r="P73" s="44"/>
      <c r="Q73" s="44"/>
    </row>
    <row r="74" spans="1:17" s="61" customFormat="1" ht="25" hidden="1" x14ac:dyDescent="0.25">
      <c r="A74" s="42" t="s">
        <v>57</v>
      </c>
      <c r="B74" s="59">
        <v>11000</v>
      </c>
      <c r="C74" s="59"/>
      <c r="D74" s="59"/>
      <c r="E74" s="44"/>
      <c r="F74" s="44"/>
      <c r="G74" s="44"/>
      <c r="H74" s="44"/>
      <c r="I74" s="137"/>
      <c r="J74" s="44"/>
      <c r="K74" s="44"/>
      <c r="L74" s="44"/>
      <c r="M74" s="44"/>
      <c r="N74" s="137"/>
      <c r="O74" s="44"/>
      <c r="P74" s="44"/>
      <c r="Q74" s="44"/>
    </row>
    <row r="75" spans="1:17" s="61" customFormat="1" hidden="1" x14ac:dyDescent="0.25">
      <c r="A75" s="42" t="s">
        <v>58</v>
      </c>
      <c r="B75" s="59">
        <v>80000</v>
      </c>
      <c r="C75" s="59"/>
      <c r="D75" s="59"/>
      <c r="E75" s="44"/>
      <c r="F75" s="44"/>
      <c r="G75" s="44"/>
      <c r="H75" s="44"/>
      <c r="I75" s="137"/>
      <c r="J75" s="44"/>
      <c r="K75" s="44"/>
      <c r="L75" s="44"/>
      <c r="M75" s="44"/>
      <c r="N75" s="137"/>
      <c r="O75" s="44"/>
      <c r="P75" s="44"/>
      <c r="Q75" s="44"/>
    </row>
    <row r="76" spans="1:17" s="61" customFormat="1" hidden="1" x14ac:dyDescent="0.25">
      <c r="A76" s="42" t="s">
        <v>59</v>
      </c>
      <c r="B76" s="59">
        <v>70000</v>
      </c>
      <c r="C76" s="59"/>
      <c r="D76" s="59"/>
      <c r="E76" s="44"/>
      <c r="F76" s="44"/>
      <c r="G76" s="44"/>
      <c r="H76" s="44"/>
      <c r="I76" s="137"/>
      <c r="J76" s="44"/>
      <c r="K76" s="44"/>
      <c r="L76" s="44"/>
      <c r="M76" s="44"/>
      <c r="N76" s="137"/>
      <c r="O76" s="44"/>
      <c r="P76" s="44"/>
      <c r="Q76" s="44"/>
    </row>
    <row r="77" spans="1:17" s="61" customFormat="1" ht="25" hidden="1" x14ac:dyDescent="0.25">
      <c r="A77" s="42" t="s">
        <v>60</v>
      </c>
      <c r="B77" s="59">
        <v>20000</v>
      </c>
      <c r="C77" s="59"/>
      <c r="D77" s="59"/>
      <c r="E77" s="44"/>
      <c r="F77" s="44"/>
      <c r="G77" s="44"/>
      <c r="H77" s="44"/>
      <c r="I77" s="137"/>
      <c r="J77" s="44"/>
      <c r="K77" s="44"/>
      <c r="L77" s="44"/>
      <c r="M77" s="44"/>
      <c r="N77" s="137"/>
      <c r="O77" s="44"/>
      <c r="P77" s="44"/>
      <c r="Q77" s="44"/>
    </row>
    <row r="78" spans="1:17" s="61" customFormat="1" hidden="1" x14ac:dyDescent="0.25">
      <c r="A78" s="42"/>
      <c r="B78" s="59"/>
      <c r="C78" s="59"/>
      <c r="D78" s="59"/>
      <c r="E78" s="44"/>
      <c r="F78" s="44"/>
      <c r="G78" s="44"/>
      <c r="H78" s="44"/>
      <c r="I78" s="137"/>
      <c r="J78" s="44"/>
      <c r="K78" s="44"/>
      <c r="L78" s="44"/>
      <c r="M78" s="44"/>
      <c r="N78" s="137"/>
      <c r="O78" s="44"/>
      <c r="P78" s="44"/>
      <c r="Q78" s="44"/>
    </row>
    <row r="79" spans="1:17" s="40" customFormat="1" ht="13" hidden="1" x14ac:dyDescent="0.25">
      <c r="A79" s="51"/>
      <c r="B79" s="64">
        <f>SUM(B70:B78)</f>
        <v>215350</v>
      </c>
      <c r="C79" s="64">
        <f>SUM(C70:C78)</f>
        <v>3800000</v>
      </c>
      <c r="D79" s="64">
        <f>SUM(D70:D78)</f>
        <v>45700</v>
      </c>
      <c r="E79" s="53">
        <f>B79+D79</f>
        <v>261050</v>
      </c>
      <c r="F79" s="55"/>
      <c r="G79" s="55"/>
      <c r="H79" s="55"/>
      <c r="I79" s="135"/>
      <c r="J79" s="53" t="e">
        <f>#REF!+I79</f>
        <v>#REF!</v>
      </c>
      <c r="K79" s="55"/>
      <c r="L79" s="55"/>
      <c r="M79" s="55"/>
      <c r="N79" s="135"/>
      <c r="O79" s="53" t="e">
        <f>#REF!+N79</f>
        <v>#REF!</v>
      </c>
      <c r="P79" s="55"/>
      <c r="Q79" s="55"/>
    </row>
    <row r="80" spans="1:17" s="40" customFormat="1" ht="13" hidden="1" x14ac:dyDescent="0.25">
      <c r="A80" s="51"/>
      <c r="B80" s="66"/>
      <c r="C80" s="66"/>
      <c r="D80" s="66"/>
      <c r="E80" s="55"/>
      <c r="F80" s="55"/>
      <c r="G80" s="55"/>
      <c r="H80" s="55"/>
      <c r="I80" s="135"/>
      <c r="J80" s="55"/>
      <c r="K80" s="55"/>
      <c r="L80" s="55"/>
      <c r="M80" s="55"/>
      <c r="N80" s="135"/>
      <c r="O80" s="55"/>
      <c r="P80" s="55"/>
      <c r="Q80" s="55"/>
    </row>
    <row r="81" spans="1:17" s="40" customFormat="1" ht="13" hidden="1" x14ac:dyDescent="0.25">
      <c r="A81" s="36" t="s">
        <v>61</v>
      </c>
      <c r="B81" s="43"/>
      <c r="C81" s="59"/>
      <c r="D81" s="43"/>
      <c r="E81" s="44"/>
      <c r="F81" s="44"/>
      <c r="G81" s="44"/>
      <c r="H81" s="44"/>
      <c r="I81" s="135"/>
      <c r="J81" s="44"/>
      <c r="K81" s="44"/>
      <c r="L81" s="44"/>
      <c r="M81" s="44"/>
      <c r="N81" s="135"/>
      <c r="O81" s="44"/>
      <c r="P81" s="44"/>
      <c r="Q81" s="44"/>
    </row>
    <row r="82" spans="1:17" s="40" customFormat="1" hidden="1" x14ac:dyDescent="0.25">
      <c r="A82" s="42" t="s">
        <v>62</v>
      </c>
      <c r="B82" s="59">
        <v>2000</v>
      </c>
      <c r="C82" s="59"/>
      <c r="D82" s="43">
        <f>C82*9700/1000000</f>
        <v>0</v>
      </c>
      <c r="E82" s="44"/>
      <c r="F82" s="44"/>
      <c r="G82" s="44"/>
      <c r="H82" s="44"/>
      <c r="I82" s="135"/>
      <c r="J82" s="44"/>
      <c r="K82" s="44"/>
      <c r="L82" s="44"/>
      <c r="M82" s="44"/>
      <c r="N82" s="135"/>
      <c r="O82" s="44"/>
      <c r="P82" s="44"/>
      <c r="Q82" s="44"/>
    </row>
    <row r="83" spans="1:17" hidden="1" x14ac:dyDescent="0.25">
      <c r="A83" s="42" t="s">
        <v>63</v>
      </c>
      <c r="B83" s="59">
        <v>20000</v>
      </c>
      <c r="D83" s="43"/>
    </row>
    <row r="84" spans="1:17" hidden="1" x14ac:dyDescent="0.25">
      <c r="A84" s="42" t="s">
        <v>64</v>
      </c>
      <c r="B84" s="59">
        <v>50000</v>
      </c>
      <c r="D84" s="43"/>
    </row>
    <row r="85" spans="1:17" hidden="1" x14ac:dyDescent="0.25">
      <c r="A85" s="42" t="s">
        <v>65</v>
      </c>
      <c r="B85" s="59">
        <v>40000</v>
      </c>
      <c r="D85" s="43"/>
    </row>
    <row r="86" spans="1:17" hidden="1" x14ac:dyDescent="0.25">
      <c r="A86" s="42" t="s">
        <v>66</v>
      </c>
      <c r="B86" s="59">
        <v>2000</v>
      </c>
      <c r="D86" s="43"/>
    </row>
    <row r="87" spans="1:17" hidden="1" x14ac:dyDescent="0.25">
      <c r="A87" s="42"/>
      <c r="B87" s="59"/>
      <c r="D87" s="43"/>
    </row>
    <row r="88" spans="1:17" hidden="1" x14ac:dyDescent="0.25">
      <c r="A88" s="42"/>
      <c r="B88" s="59"/>
      <c r="D88" s="43"/>
    </row>
    <row r="89" spans="1:17" hidden="1" x14ac:dyDescent="0.25">
      <c r="A89" s="42"/>
      <c r="B89" s="59"/>
      <c r="D89" s="43"/>
    </row>
    <row r="90" spans="1:17" ht="13" hidden="1" x14ac:dyDescent="0.25">
      <c r="A90" s="36" t="s">
        <v>67</v>
      </c>
      <c r="B90" s="59"/>
      <c r="D90" s="43"/>
    </row>
    <row r="91" spans="1:17" hidden="1" x14ac:dyDescent="0.25">
      <c r="A91" s="42" t="s">
        <v>68</v>
      </c>
      <c r="B91" s="59">
        <v>1500</v>
      </c>
      <c r="D91" s="43"/>
    </row>
    <row r="92" spans="1:17" s="68" customFormat="1" hidden="1" x14ac:dyDescent="0.25">
      <c r="A92" s="42" t="s">
        <v>69</v>
      </c>
      <c r="B92" s="67">
        <v>1800</v>
      </c>
      <c r="D92" s="43"/>
      <c r="I92" s="125"/>
      <c r="N92" s="125"/>
    </row>
    <row r="93" spans="1:17" hidden="1" x14ac:dyDescent="0.25">
      <c r="A93" s="42" t="s">
        <v>70</v>
      </c>
      <c r="B93" s="59">
        <v>7000</v>
      </c>
      <c r="D93" s="43"/>
    </row>
    <row r="94" spans="1:17" s="68" customFormat="1" hidden="1" x14ac:dyDescent="0.25">
      <c r="A94" s="42" t="s">
        <v>71</v>
      </c>
      <c r="B94" s="67">
        <v>3000</v>
      </c>
      <c r="D94" s="43"/>
      <c r="I94" s="125"/>
      <c r="N94" s="125"/>
    </row>
    <row r="95" spans="1:17" s="68" customFormat="1" hidden="1" x14ac:dyDescent="0.25">
      <c r="A95" s="42" t="s">
        <v>72</v>
      </c>
      <c r="B95" s="67"/>
      <c r="C95" s="67">
        <v>140000</v>
      </c>
      <c r="D95" s="59">
        <f t="shared" ref="D95:D100" si="58">C95*13000/1000000</f>
        <v>1820</v>
      </c>
      <c r="I95" s="125"/>
      <c r="N95" s="125"/>
    </row>
    <row r="96" spans="1:17" s="68" customFormat="1" hidden="1" x14ac:dyDescent="0.25">
      <c r="A96" s="42" t="s">
        <v>73</v>
      </c>
      <c r="B96" s="67"/>
      <c r="C96" s="67">
        <v>150000</v>
      </c>
      <c r="D96" s="59">
        <f t="shared" si="58"/>
        <v>1950</v>
      </c>
      <c r="I96" s="125"/>
      <c r="N96" s="125"/>
    </row>
    <row r="97" spans="1:17" s="68" customFormat="1" hidden="1" x14ac:dyDescent="0.25">
      <c r="A97" s="42" t="s">
        <v>74</v>
      </c>
      <c r="B97" s="67"/>
      <c r="C97" s="67">
        <v>120000</v>
      </c>
      <c r="D97" s="59">
        <f t="shared" si="58"/>
        <v>1560</v>
      </c>
      <c r="I97" s="125"/>
      <c r="N97" s="125"/>
    </row>
    <row r="98" spans="1:17" s="68" customFormat="1" hidden="1" x14ac:dyDescent="0.25">
      <c r="A98" s="42" t="s">
        <v>75</v>
      </c>
      <c r="B98" s="67"/>
      <c r="C98" s="67">
        <v>90000</v>
      </c>
      <c r="D98" s="59">
        <f t="shared" si="58"/>
        <v>1170</v>
      </c>
      <c r="I98" s="125"/>
      <c r="N98" s="125"/>
    </row>
    <row r="99" spans="1:17" s="68" customFormat="1" hidden="1" x14ac:dyDescent="0.25">
      <c r="A99" s="42" t="s">
        <v>76</v>
      </c>
      <c r="B99" s="67"/>
      <c r="C99" s="67">
        <v>105000</v>
      </c>
      <c r="D99" s="59">
        <f t="shared" si="58"/>
        <v>1365</v>
      </c>
      <c r="I99" s="125"/>
      <c r="N99" s="125"/>
    </row>
    <row r="100" spans="1:17" s="68" customFormat="1" hidden="1" x14ac:dyDescent="0.25">
      <c r="A100" s="42" t="s">
        <v>77</v>
      </c>
      <c r="B100" s="67"/>
      <c r="C100" s="67">
        <v>150000</v>
      </c>
      <c r="D100" s="59">
        <f t="shared" si="58"/>
        <v>1950</v>
      </c>
      <c r="I100" s="125"/>
      <c r="N100" s="125"/>
    </row>
    <row r="101" spans="1:17" s="68" customFormat="1" hidden="1" x14ac:dyDescent="0.25">
      <c r="A101" s="42"/>
      <c r="B101" s="67"/>
      <c r="D101" s="43"/>
      <c r="I101" s="125"/>
      <c r="N101" s="125"/>
    </row>
    <row r="102" spans="1:17" hidden="1" x14ac:dyDescent="0.25"/>
    <row r="103" spans="1:17" s="40" customFormat="1" ht="13" hidden="1" x14ac:dyDescent="0.25">
      <c r="A103" s="36"/>
      <c r="B103" s="52">
        <f>SUM(B80:B102)</f>
        <v>127300</v>
      </c>
      <c r="C103" s="52">
        <f>SUM(C80:C102)</f>
        <v>755000</v>
      </c>
      <c r="D103" s="52">
        <f>SUM(D80:D102)</f>
        <v>9815</v>
      </c>
      <c r="E103" s="53">
        <f>B103+D103</f>
        <v>137115</v>
      </c>
      <c r="F103" s="53"/>
      <c r="G103" s="53"/>
      <c r="H103" s="55"/>
      <c r="I103" s="135"/>
      <c r="J103" s="53" t="e">
        <f>#REF!+I103</f>
        <v>#REF!</v>
      </c>
      <c r="K103" s="53"/>
      <c r="L103" s="53"/>
      <c r="M103" s="55"/>
      <c r="N103" s="135"/>
      <c r="O103" s="53" t="e">
        <f>#REF!+N103</f>
        <v>#REF!</v>
      </c>
      <c r="P103" s="53"/>
      <c r="Q103" s="53"/>
    </row>
    <row r="104" spans="1:17" s="40" customFormat="1" ht="13" hidden="1" x14ac:dyDescent="0.25">
      <c r="A104" s="36"/>
      <c r="B104" s="58"/>
      <c r="C104" s="58"/>
      <c r="D104" s="58"/>
      <c r="E104" s="55"/>
      <c r="F104" s="55"/>
      <c r="G104" s="55"/>
      <c r="H104" s="55"/>
      <c r="I104" s="135"/>
      <c r="J104" s="55"/>
      <c r="K104" s="55"/>
      <c r="L104" s="55"/>
      <c r="M104" s="55"/>
      <c r="N104" s="135"/>
      <c r="O104" s="55"/>
      <c r="P104" s="55"/>
      <c r="Q104" s="55"/>
    </row>
    <row r="105" spans="1:17" s="40" customFormat="1" ht="13" hidden="1" x14ac:dyDescent="0.25">
      <c r="A105" s="36" t="s">
        <v>78</v>
      </c>
      <c r="B105" s="43"/>
      <c r="C105" s="59"/>
      <c r="D105" s="43"/>
      <c r="E105" s="44"/>
      <c r="F105" s="44"/>
      <c r="G105" s="44"/>
      <c r="H105" s="44"/>
      <c r="I105" s="135"/>
      <c r="J105" s="44"/>
      <c r="K105" s="44"/>
      <c r="L105" s="44"/>
      <c r="M105" s="44"/>
      <c r="N105" s="135"/>
      <c r="O105" s="44"/>
      <c r="P105" s="44"/>
      <c r="Q105" s="44"/>
    </row>
    <row r="106" spans="1:17" s="40" customFormat="1" hidden="1" x14ac:dyDescent="0.25">
      <c r="A106" s="42" t="s">
        <v>64</v>
      </c>
      <c r="B106" s="59">
        <v>10000</v>
      </c>
      <c r="C106" s="59"/>
      <c r="D106" s="43"/>
      <c r="E106" s="44"/>
      <c r="F106" s="44"/>
      <c r="G106" s="44"/>
      <c r="H106" s="44"/>
      <c r="I106" s="135"/>
      <c r="J106" s="44"/>
      <c r="K106" s="44"/>
      <c r="L106" s="44"/>
      <c r="M106" s="44"/>
      <c r="N106" s="135"/>
      <c r="O106" s="44"/>
      <c r="P106" s="44"/>
      <c r="Q106" s="44"/>
    </row>
    <row r="107" spans="1:17" s="40" customFormat="1" hidden="1" x14ac:dyDescent="0.25">
      <c r="A107" s="42" t="s">
        <v>79</v>
      </c>
      <c r="B107" s="59">
        <v>5000</v>
      </c>
      <c r="C107" s="59"/>
      <c r="D107" s="43"/>
      <c r="E107" s="44"/>
      <c r="F107" s="44"/>
      <c r="G107" s="44"/>
      <c r="H107" s="44"/>
      <c r="I107" s="135"/>
      <c r="J107" s="44"/>
      <c r="K107" s="44"/>
      <c r="L107" s="44"/>
      <c r="M107" s="44"/>
      <c r="N107" s="135"/>
      <c r="O107" s="44"/>
      <c r="P107" s="44"/>
      <c r="Q107" s="44"/>
    </row>
    <row r="108" spans="1:17" s="40" customFormat="1" hidden="1" x14ac:dyDescent="0.25">
      <c r="A108" s="42" t="s">
        <v>80</v>
      </c>
      <c r="B108" s="59">
        <v>1500</v>
      </c>
      <c r="C108" s="59"/>
      <c r="D108" s="43"/>
      <c r="E108" s="44"/>
      <c r="F108" s="44"/>
      <c r="G108" s="44"/>
      <c r="H108" s="44"/>
      <c r="I108" s="135"/>
      <c r="J108" s="44"/>
      <c r="K108" s="44"/>
      <c r="L108" s="44"/>
      <c r="M108" s="44"/>
      <c r="N108" s="135"/>
      <c r="O108" s="44"/>
      <c r="P108" s="44"/>
      <c r="Q108" s="44"/>
    </row>
    <row r="109" spans="1:17" s="40" customFormat="1" hidden="1" x14ac:dyDescent="0.25">
      <c r="A109" s="42" t="s">
        <v>81</v>
      </c>
      <c r="B109" s="59">
        <v>3500</v>
      </c>
      <c r="C109" s="59"/>
      <c r="D109" s="43"/>
      <c r="E109" s="44"/>
      <c r="F109" s="44"/>
      <c r="G109" s="44"/>
      <c r="H109" s="44"/>
      <c r="I109" s="135"/>
      <c r="J109" s="44"/>
      <c r="K109" s="44"/>
      <c r="L109" s="44"/>
      <c r="M109" s="44"/>
      <c r="N109" s="135"/>
      <c r="O109" s="44"/>
      <c r="P109" s="44"/>
      <c r="Q109" s="44"/>
    </row>
    <row r="110" spans="1:17" s="40" customFormat="1" hidden="1" x14ac:dyDescent="0.25">
      <c r="A110" s="42" t="s">
        <v>82</v>
      </c>
      <c r="B110" s="59">
        <v>4000</v>
      </c>
      <c r="C110" s="59"/>
      <c r="D110" s="43"/>
      <c r="E110" s="44"/>
      <c r="F110" s="44"/>
      <c r="G110" s="44"/>
      <c r="H110" s="44"/>
      <c r="I110" s="135"/>
      <c r="J110" s="44"/>
      <c r="K110" s="44"/>
      <c r="L110" s="44"/>
      <c r="M110" s="44"/>
      <c r="N110" s="135"/>
      <c r="O110" s="44"/>
      <c r="P110" s="44"/>
      <c r="Q110" s="44"/>
    </row>
    <row r="111" spans="1:17" s="40" customFormat="1" hidden="1" x14ac:dyDescent="0.25">
      <c r="A111" s="42" t="s">
        <v>83</v>
      </c>
      <c r="B111" s="59">
        <v>2000</v>
      </c>
      <c r="C111" s="59"/>
      <c r="D111" s="43"/>
      <c r="E111" s="44"/>
      <c r="F111" s="44"/>
      <c r="G111" s="44"/>
      <c r="H111" s="44"/>
      <c r="I111" s="135"/>
      <c r="J111" s="44"/>
      <c r="K111" s="44"/>
      <c r="L111" s="44"/>
      <c r="M111" s="44"/>
      <c r="N111" s="135"/>
      <c r="O111" s="44"/>
      <c r="P111" s="44"/>
      <c r="Q111" s="44"/>
    </row>
    <row r="112" spans="1:17" s="40" customFormat="1" hidden="1" x14ac:dyDescent="0.25">
      <c r="A112" s="42" t="s">
        <v>84</v>
      </c>
      <c r="B112" s="59">
        <v>15000</v>
      </c>
      <c r="C112" s="59"/>
      <c r="D112" s="43"/>
      <c r="E112" s="44"/>
      <c r="F112" s="44"/>
      <c r="G112" s="44"/>
      <c r="H112" s="44"/>
      <c r="I112" s="135"/>
      <c r="J112" s="44"/>
      <c r="K112" s="44"/>
      <c r="L112" s="44"/>
      <c r="M112" s="44"/>
      <c r="N112" s="135"/>
      <c r="O112" s="44"/>
      <c r="P112" s="44"/>
      <c r="Q112" s="44"/>
    </row>
    <row r="113" spans="1:17" s="46" customFormat="1" hidden="1" x14ac:dyDescent="0.25">
      <c r="A113" s="45" t="s">
        <v>85</v>
      </c>
      <c r="C113" s="69"/>
      <c r="D113" s="47"/>
      <c r="E113" s="48"/>
      <c r="F113" s="48"/>
      <c r="G113" s="48"/>
      <c r="H113" s="48"/>
      <c r="I113" s="136"/>
      <c r="J113" s="48"/>
      <c r="K113" s="48"/>
      <c r="L113" s="48"/>
      <c r="M113" s="48"/>
      <c r="N113" s="136"/>
      <c r="O113" s="48"/>
      <c r="P113" s="48"/>
      <c r="Q113" s="48"/>
    </row>
    <row r="114" spans="1:17" s="61" customFormat="1" hidden="1" x14ac:dyDescent="0.25">
      <c r="A114" s="42" t="s">
        <v>86</v>
      </c>
      <c r="B114" s="59">
        <v>40000</v>
      </c>
      <c r="C114" s="59"/>
      <c r="D114" s="43"/>
      <c r="E114" s="44"/>
      <c r="F114" s="44"/>
      <c r="G114" s="44"/>
      <c r="H114" s="44"/>
      <c r="I114" s="137"/>
      <c r="J114" s="44"/>
      <c r="K114" s="44"/>
      <c r="L114" s="44"/>
      <c r="M114" s="44"/>
      <c r="N114" s="137"/>
      <c r="O114" s="44"/>
      <c r="P114" s="44"/>
      <c r="Q114" s="44"/>
    </row>
    <row r="115" spans="1:17" s="61" customFormat="1" hidden="1" x14ac:dyDescent="0.25">
      <c r="A115" s="42" t="s">
        <v>87</v>
      </c>
      <c r="B115" s="59">
        <v>2000</v>
      </c>
      <c r="C115" s="59"/>
      <c r="D115" s="43"/>
      <c r="E115" s="44"/>
      <c r="F115" s="44"/>
      <c r="G115" s="44"/>
      <c r="H115" s="44"/>
      <c r="I115" s="137"/>
      <c r="J115" s="44"/>
      <c r="K115" s="44"/>
      <c r="L115" s="44"/>
      <c r="M115" s="44"/>
      <c r="N115" s="137"/>
      <c r="O115" s="44"/>
      <c r="P115" s="44"/>
      <c r="Q115" s="44"/>
    </row>
    <row r="116" spans="1:17" s="61" customFormat="1" hidden="1" x14ac:dyDescent="0.25">
      <c r="A116" s="42" t="s">
        <v>88</v>
      </c>
      <c r="B116" s="59">
        <v>10000</v>
      </c>
      <c r="C116" s="59"/>
      <c r="D116" s="43"/>
      <c r="E116" s="44"/>
      <c r="F116" s="44"/>
      <c r="G116" s="44"/>
      <c r="H116" s="44"/>
      <c r="I116" s="137"/>
      <c r="J116" s="44"/>
      <c r="K116" s="44"/>
      <c r="L116" s="44"/>
      <c r="M116" s="44"/>
      <c r="N116" s="137"/>
      <c r="O116" s="44"/>
      <c r="P116" s="44"/>
      <c r="Q116" s="44"/>
    </row>
    <row r="117" spans="1:17" s="61" customFormat="1" hidden="1" x14ac:dyDescent="0.25">
      <c r="A117" s="42" t="s">
        <v>89</v>
      </c>
      <c r="B117" s="59">
        <v>3500</v>
      </c>
      <c r="C117" s="59"/>
      <c r="D117" s="43"/>
      <c r="E117" s="44"/>
      <c r="F117" s="44"/>
      <c r="G117" s="44"/>
      <c r="H117" s="44"/>
      <c r="I117" s="137"/>
      <c r="J117" s="44"/>
      <c r="K117" s="44"/>
      <c r="L117" s="44"/>
      <c r="M117" s="44"/>
      <c r="N117" s="137"/>
      <c r="O117" s="44"/>
      <c r="P117" s="44"/>
      <c r="Q117" s="44"/>
    </row>
    <row r="118" spans="1:17" s="61" customFormat="1" hidden="1" x14ac:dyDescent="0.25">
      <c r="A118" s="42" t="s">
        <v>90</v>
      </c>
      <c r="B118" s="59">
        <v>2500</v>
      </c>
      <c r="C118" s="59"/>
      <c r="D118" s="43"/>
      <c r="E118" s="44"/>
      <c r="F118" s="44"/>
      <c r="G118" s="44"/>
      <c r="H118" s="44"/>
      <c r="I118" s="137"/>
      <c r="J118" s="44"/>
      <c r="K118" s="44"/>
      <c r="L118" s="44"/>
      <c r="M118" s="44"/>
      <c r="N118" s="137"/>
      <c r="O118" s="44"/>
      <c r="P118" s="44"/>
      <c r="Q118" s="44"/>
    </row>
    <row r="119" spans="1:17" s="61" customFormat="1" hidden="1" x14ac:dyDescent="0.25">
      <c r="A119" s="42" t="s">
        <v>91</v>
      </c>
      <c r="B119" s="59">
        <v>1500</v>
      </c>
      <c r="C119" s="59"/>
      <c r="D119" s="43"/>
      <c r="E119" s="44"/>
      <c r="F119" s="44"/>
      <c r="G119" s="44"/>
      <c r="H119" s="44"/>
      <c r="I119" s="137"/>
      <c r="J119" s="44"/>
      <c r="K119" s="44"/>
      <c r="L119" s="44"/>
      <c r="M119" s="44"/>
      <c r="N119" s="137"/>
      <c r="O119" s="44"/>
      <c r="P119" s="44"/>
      <c r="Q119" s="44"/>
    </row>
    <row r="120" spans="1:17" s="61" customFormat="1" hidden="1" x14ac:dyDescent="0.25">
      <c r="A120" s="42" t="s">
        <v>92</v>
      </c>
      <c r="B120" s="59">
        <v>4500</v>
      </c>
      <c r="C120" s="59"/>
      <c r="D120" s="43"/>
      <c r="E120" s="44"/>
      <c r="F120" s="44"/>
      <c r="G120" s="44"/>
      <c r="H120" s="44"/>
      <c r="I120" s="137"/>
      <c r="J120" s="44"/>
      <c r="K120" s="44"/>
      <c r="L120" s="44"/>
      <c r="M120" s="44"/>
      <c r="N120" s="137"/>
      <c r="O120" s="44"/>
      <c r="P120" s="44"/>
      <c r="Q120" s="44"/>
    </row>
    <row r="121" spans="1:17" s="61" customFormat="1" hidden="1" x14ac:dyDescent="0.25">
      <c r="A121" s="42"/>
      <c r="C121" s="59"/>
      <c r="D121" s="43"/>
      <c r="E121" s="44"/>
      <c r="F121" s="44"/>
      <c r="G121" s="44"/>
      <c r="H121" s="44"/>
      <c r="I121" s="137"/>
      <c r="J121" s="44"/>
      <c r="K121" s="44"/>
      <c r="L121" s="44"/>
      <c r="M121" s="44"/>
      <c r="N121" s="137"/>
      <c r="O121" s="44"/>
      <c r="P121" s="44"/>
      <c r="Q121" s="44"/>
    </row>
    <row r="122" spans="1:17" s="40" customFormat="1" hidden="1" x14ac:dyDescent="0.25">
      <c r="A122" s="42"/>
      <c r="B122" s="59"/>
      <c r="C122" s="59"/>
      <c r="D122" s="43"/>
      <c r="E122" s="44"/>
      <c r="F122" s="44"/>
      <c r="G122" s="44"/>
      <c r="H122" s="44"/>
      <c r="I122" s="135"/>
      <c r="J122" s="44"/>
      <c r="K122" s="44"/>
      <c r="L122" s="44"/>
      <c r="M122" s="44"/>
      <c r="N122" s="135"/>
      <c r="O122" s="44"/>
      <c r="P122" s="44"/>
      <c r="Q122" s="44"/>
    </row>
    <row r="123" spans="1:17" s="40" customFormat="1" hidden="1" x14ac:dyDescent="0.25">
      <c r="A123" s="42"/>
      <c r="B123" s="59"/>
      <c r="C123" s="59"/>
      <c r="D123" s="43"/>
      <c r="E123" s="44"/>
      <c r="F123" s="44"/>
      <c r="G123" s="44"/>
      <c r="H123" s="44"/>
      <c r="I123" s="135"/>
      <c r="J123" s="44"/>
      <c r="K123" s="44"/>
      <c r="L123" s="44"/>
      <c r="M123" s="44"/>
      <c r="N123" s="135"/>
      <c r="O123" s="44"/>
      <c r="P123" s="44"/>
      <c r="Q123" s="44"/>
    </row>
    <row r="124" spans="1:17" s="40" customFormat="1" ht="13" hidden="1" x14ac:dyDescent="0.25">
      <c r="A124" s="70" t="s">
        <v>93</v>
      </c>
      <c r="B124" s="59"/>
      <c r="C124" s="59"/>
      <c r="D124" s="43"/>
      <c r="E124" s="44"/>
      <c r="F124" s="44"/>
      <c r="G124" s="44"/>
      <c r="H124" s="44"/>
      <c r="I124" s="135"/>
      <c r="J124" s="44"/>
      <c r="K124" s="44"/>
      <c r="L124" s="44"/>
      <c r="M124" s="44"/>
      <c r="N124" s="135"/>
      <c r="O124" s="44"/>
      <c r="P124" s="44"/>
      <c r="Q124" s="44"/>
    </row>
    <row r="125" spans="1:17" s="40" customFormat="1" hidden="1" x14ac:dyDescent="0.25">
      <c r="A125" s="42"/>
      <c r="B125" s="59"/>
      <c r="C125" s="59"/>
      <c r="D125" s="43"/>
      <c r="E125" s="44"/>
      <c r="F125" s="44"/>
      <c r="G125" s="44"/>
      <c r="H125" s="44"/>
      <c r="I125" s="135"/>
      <c r="J125" s="44"/>
      <c r="K125" s="44"/>
      <c r="L125" s="44"/>
      <c r="M125" s="44"/>
      <c r="N125" s="135"/>
      <c r="O125" s="44"/>
      <c r="P125" s="44"/>
      <c r="Q125" s="44"/>
    </row>
    <row r="126" spans="1:17" hidden="1" x14ac:dyDescent="0.25">
      <c r="A126" s="42" t="s">
        <v>64</v>
      </c>
      <c r="B126" s="59">
        <v>51500</v>
      </c>
    </row>
    <row r="127" spans="1:17" hidden="1" x14ac:dyDescent="0.25">
      <c r="A127" s="42" t="s">
        <v>94</v>
      </c>
      <c r="B127" s="59">
        <v>6900</v>
      </c>
    </row>
    <row r="128" spans="1:17" hidden="1" x14ac:dyDescent="0.25">
      <c r="A128" s="42" t="s">
        <v>95</v>
      </c>
      <c r="B128" s="59">
        <v>42000</v>
      </c>
    </row>
    <row r="129" spans="1:17" hidden="1" x14ac:dyDescent="0.25">
      <c r="A129" s="42" t="s">
        <v>96</v>
      </c>
      <c r="B129" s="59">
        <v>32000</v>
      </c>
    </row>
    <row r="130" spans="1:17" hidden="1" x14ac:dyDescent="0.25">
      <c r="A130" s="42" t="s">
        <v>97</v>
      </c>
      <c r="B130" s="59">
        <v>25000</v>
      </c>
    </row>
    <row r="131" spans="1:17" hidden="1" x14ac:dyDescent="0.25">
      <c r="A131" s="42" t="s">
        <v>98</v>
      </c>
      <c r="B131" s="59">
        <v>25000</v>
      </c>
    </row>
    <row r="132" spans="1:17" hidden="1" x14ac:dyDescent="0.25">
      <c r="A132" s="42"/>
      <c r="B132" s="59"/>
    </row>
    <row r="133" spans="1:17" hidden="1" x14ac:dyDescent="0.25">
      <c r="A133" s="42"/>
      <c r="B133" s="59"/>
    </row>
    <row r="134" spans="1:17" s="40" customFormat="1" hidden="1" x14ac:dyDescent="0.25">
      <c r="A134" s="42"/>
      <c r="B134" s="59"/>
      <c r="C134" s="59"/>
      <c r="D134" s="43"/>
      <c r="E134" s="44"/>
      <c r="F134" s="44"/>
      <c r="G134" s="44"/>
      <c r="H134" s="44"/>
      <c r="I134" s="135"/>
      <c r="J134" s="44"/>
      <c r="K134" s="44"/>
      <c r="L134" s="44"/>
      <c r="M134" s="44"/>
      <c r="N134" s="135"/>
      <c r="O134" s="44"/>
      <c r="P134" s="44"/>
      <c r="Q134" s="44"/>
    </row>
    <row r="135" spans="1:17" s="40" customFormat="1" ht="13" hidden="1" x14ac:dyDescent="0.25">
      <c r="A135" s="36" t="s">
        <v>99</v>
      </c>
      <c r="B135" s="59"/>
      <c r="C135" s="59"/>
      <c r="D135" s="43"/>
      <c r="E135" s="44"/>
      <c r="F135" s="44"/>
      <c r="G135" s="44"/>
      <c r="H135" s="44"/>
      <c r="I135" s="135"/>
      <c r="J135" s="44"/>
      <c r="K135" s="44"/>
      <c r="L135" s="44"/>
      <c r="M135" s="44"/>
      <c r="N135" s="135"/>
      <c r="O135" s="44"/>
      <c r="P135" s="44"/>
      <c r="Q135" s="44"/>
    </row>
    <row r="136" spans="1:17" s="40" customFormat="1" hidden="1" x14ac:dyDescent="0.25">
      <c r="A136" s="42" t="s">
        <v>100</v>
      </c>
      <c r="B136" s="71">
        <v>7200</v>
      </c>
      <c r="C136" s="59"/>
      <c r="D136" s="43"/>
      <c r="E136" s="44"/>
      <c r="F136" s="44"/>
      <c r="G136" s="44"/>
      <c r="H136" s="44"/>
      <c r="I136" s="135"/>
      <c r="J136" s="44"/>
      <c r="K136" s="44"/>
      <c r="L136" s="44"/>
      <c r="M136" s="44"/>
      <c r="N136" s="135"/>
      <c r="O136" s="44"/>
      <c r="P136" s="44"/>
      <c r="Q136" s="44"/>
    </row>
    <row r="137" spans="1:17" s="46" customFormat="1" hidden="1" x14ac:dyDescent="0.25">
      <c r="A137" s="45" t="s">
        <v>101</v>
      </c>
      <c r="C137" s="69"/>
      <c r="D137" s="47"/>
      <c r="E137" s="48"/>
      <c r="F137" s="48"/>
      <c r="G137" s="48"/>
      <c r="H137" s="48"/>
      <c r="I137" s="136"/>
      <c r="J137" s="48"/>
      <c r="K137" s="48"/>
      <c r="L137" s="48"/>
      <c r="M137" s="48"/>
      <c r="N137" s="136"/>
      <c r="O137" s="48"/>
      <c r="P137" s="48"/>
      <c r="Q137" s="48"/>
    </row>
    <row r="138" spans="1:17" s="46" customFormat="1" hidden="1" x14ac:dyDescent="0.25">
      <c r="A138" s="45" t="s">
        <v>102</v>
      </c>
      <c r="C138" s="69"/>
      <c r="D138" s="47"/>
      <c r="E138" s="48"/>
      <c r="F138" s="48"/>
      <c r="G138" s="48"/>
      <c r="H138" s="48"/>
      <c r="I138" s="136"/>
      <c r="J138" s="48"/>
      <c r="K138" s="48"/>
      <c r="L138" s="48"/>
      <c r="M138" s="48"/>
      <c r="N138" s="136"/>
      <c r="O138" s="48"/>
      <c r="P138" s="48"/>
      <c r="Q138" s="48"/>
    </row>
    <row r="139" spans="1:17" s="61" customFormat="1" hidden="1" x14ac:dyDescent="0.25">
      <c r="A139" s="42" t="s">
        <v>103</v>
      </c>
      <c r="B139" s="62">
        <v>1000</v>
      </c>
      <c r="C139" s="59"/>
      <c r="D139" s="43"/>
      <c r="E139" s="44"/>
      <c r="F139" s="44"/>
      <c r="G139" s="44"/>
      <c r="H139" s="44"/>
      <c r="I139" s="137"/>
      <c r="J139" s="44"/>
      <c r="K139" s="44"/>
      <c r="L139" s="44"/>
      <c r="M139" s="44"/>
      <c r="N139" s="137"/>
      <c r="O139" s="44"/>
      <c r="P139" s="44"/>
      <c r="Q139" s="44"/>
    </row>
    <row r="140" spans="1:17" s="61" customFormat="1" hidden="1" x14ac:dyDescent="0.25">
      <c r="A140" s="42" t="s">
        <v>104</v>
      </c>
      <c r="B140" s="62">
        <v>1500</v>
      </c>
      <c r="C140" s="59"/>
      <c r="D140" s="43"/>
      <c r="E140" s="44"/>
      <c r="F140" s="44"/>
      <c r="G140" s="44"/>
      <c r="H140" s="44"/>
      <c r="I140" s="137"/>
      <c r="J140" s="44"/>
      <c r="K140" s="44"/>
      <c r="L140" s="44"/>
      <c r="M140" s="44"/>
      <c r="N140" s="137"/>
      <c r="O140" s="44"/>
      <c r="P140" s="44"/>
      <c r="Q140" s="44"/>
    </row>
    <row r="141" spans="1:17" s="61" customFormat="1" hidden="1" x14ac:dyDescent="0.25">
      <c r="A141" s="42" t="s">
        <v>105</v>
      </c>
      <c r="B141" s="62">
        <v>1200</v>
      </c>
      <c r="C141" s="59"/>
      <c r="D141" s="43"/>
      <c r="E141" s="44"/>
      <c r="F141" s="44"/>
      <c r="G141" s="44"/>
      <c r="H141" s="44"/>
      <c r="I141" s="137"/>
      <c r="J141" s="44"/>
      <c r="K141" s="44"/>
      <c r="L141" s="44"/>
      <c r="M141" s="44"/>
      <c r="N141" s="137"/>
      <c r="O141" s="44"/>
      <c r="P141" s="44"/>
      <c r="Q141" s="44"/>
    </row>
    <row r="142" spans="1:17" s="61" customFormat="1" hidden="1" x14ac:dyDescent="0.25">
      <c r="A142" s="42" t="s">
        <v>106</v>
      </c>
      <c r="B142" s="62">
        <v>800</v>
      </c>
      <c r="C142" s="59"/>
      <c r="D142" s="43"/>
      <c r="E142" s="44"/>
      <c r="F142" s="44"/>
      <c r="G142" s="44"/>
      <c r="H142" s="44"/>
      <c r="I142" s="137"/>
      <c r="J142" s="44"/>
      <c r="K142" s="44"/>
      <c r="L142" s="44"/>
      <c r="M142" s="44"/>
      <c r="N142" s="137"/>
      <c r="O142" s="44"/>
      <c r="P142" s="44"/>
      <c r="Q142" s="44"/>
    </row>
    <row r="143" spans="1:17" s="61" customFormat="1" hidden="1" x14ac:dyDescent="0.25">
      <c r="A143" s="42" t="s">
        <v>107</v>
      </c>
      <c r="B143" s="62">
        <v>1000</v>
      </c>
      <c r="C143" s="59"/>
      <c r="D143" s="43"/>
      <c r="E143" s="44"/>
      <c r="F143" s="44"/>
      <c r="G143" s="44"/>
      <c r="H143" s="44"/>
      <c r="I143" s="137"/>
      <c r="J143" s="44"/>
      <c r="K143" s="44"/>
      <c r="L143" s="44"/>
      <c r="M143" s="44"/>
      <c r="N143" s="137"/>
      <c r="O143" s="44"/>
      <c r="P143" s="44"/>
      <c r="Q143" s="44"/>
    </row>
    <row r="144" spans="1:17" s="61" customFormat="1" hidden="1" x14ac:dyDescent="0.25">
      <c r="A144" s="42" t="s">
        <v>108</v>
      </c>
      <c r="B144" s="62">
        <v>200</v>
      </c>
      <c r="C144" s="59"/>
      <c r="D144" s="43"/>
      <c r="E144" s="44"/>
      <c r="F144" s="44"/>
      <c r="G144" s="44"/>
      <c r="H144" s="44"/>
      <c r="I144" s="137"/>
      <c r="J144" s="44"/>
      <c r="K144" s="44"/>
      <c r="L144" s="44"/>
      <c r="M144" s="44"/>
      <c r="N144" s="137"/>
      <c r="O144" s="44"/>
      <c r="P144" s="44"/>
      <c r="Q144" s="44"/>
    </row>
    <row r="145" spans="1:17" s="61" customFormat="1" hidden="1" x14ac:dyDescent="0.25">
      <c r="A145" s="42" t="s">
        <v>109</v>
      </c>
      <c r="B145" s="62">
        <v>500</v>
      </c>
      <c r="C145" s="59"/>
      <c r="D145" s="43"/>
      <c r="E145" s="44"/>
      <c r="F145" s="44"/>
      <c r="G145" s="44"/>
      <c r="H145" s="44"/>
      <c r="I145" s="137"/>
      <c r="J145" s="44"/>
      <c r="K145" s="44"/>
      <c r="L145" s="44"/>
      <c r="M145" s="44"/>
      <c r="N145" s="137"/>
      <c r="O145" s="44"/>
      <c r="P145" s="44"/>
      <c r="Q145" s="44"/>
    </row>
    <row r="146" spans="1:17" hidden="1" x14ac:dyDescent="0.25"/>
    <row r="147" spans="1:17" s="40" customFormat="1" ht="13" hidden="1" x14ac:dyDescent="0.25">
      <c r="A147" s="51"/>
      <c r="B147" s="52">
        <f>SUM(B106:B146)</f>
        <v>300800</v>
      </c>
      <c r="C147" s="52">
        <f>SUM(C106:C146)</f>
        <v>0</v>
      </c>
      <c r="D147" s="52">
        <f>SUM(D106:D146)</f>
        <v>0</v>
      </c>
      <c r="E147" s="53">
        <f>B147+D147</f>
        <v>300800</v>
      </c>
      <c r="F147" s="53"/>
      <c r="G147" s="53"/>
      <c r="H147" s="55"/>
      <c r="I147" s="135"/>
      <c r="J147" s="53" t="e">
        <f>#REF!+I147</f>
        <v>#REF!</v>
      </c>
      <c r="K147" s="53"/>
      <c r="L147" s="53"/>
      <c r="M147" s="55"/>
      <c r="N147" s="135"/>
      <c r="O147" s="53" t="e">
        <f>#REF!+N147</f>
        <v>#REF!</v>
      </c>
      <c r="P147" s="53"/>
      <c r="Q147" s="53"/>
    </row>
    <row r="148" spans="1:17" s="40" customFormat="1" ht="13" hidden="1" x14ac:dyDescent="0.25">
      <c r="A148" s="51"/>
      <c r="B148" s="58"/>
      <c r="C148" s="58"/>
      <c r="D148" s="58"/>
      <c r="E148" s="55"/>
      <c r="F148" s="55"/>
      <c r="G148" s="55"/>
      <c r="H148" s="55"/>
      <c r="I148" s="135"/>
      <c r="J148" s="55"/>
      <c r="K148" s="55"/>
      <c r="L148" s="55"/>
      <c r="M148" s="55"/>
      <c r="N148" s="135"/>
      <c r="O148" s="55"/>
      <c r="P148" s="55"/>
      <c r="Q148" s="55"/>
    </row>
    <row r="149" spans="1:17" s="40" customFormat="1" ht="13" hidden="1" x14ac:dyDescent="0.25">
      <c r="A149" s="36" t="s">
        <v>110</v>
      </c>
      <c r="B149" s="43"/>
      <c r="C149" s="59"/>
      <c r="D149" s="43"/>
      <c r="E149" s="44"/>
      <c r="F149" s="44"/>
      <c r="G149" s="44"/>
      <c r="H149" s="44"/>
      <c r="I149" s="135"/>
      <c r="J149" s="44"/>
      <c r="K149" s="44"/>
      <c r="L149" s="44"/>
      <c r="M149" s="44"/>
      <c r="N149" s="135"/>
      <c r="O149" s="44"/>
      <c r="P149" s="44"/>
      <c r="Q149" s="44"/>
    </row>
    <row r="150" spans="1:17" s="40" customFormat="1" hidden="1" x14ac:dyDescent="0.25">
      <c r="A150" s="42" t="s">
        <v>111</v>
      </c>
      <c r="B150" s="43">
        <v>1500</v>
      </c>
      <c r="C150" s="59"/>
      <c r="D150" s="59">
        <f>C150*9700/1000000</f>
        <v>0</v>
      </c>
      <c r="E150" s="44"/>
      <c r="F150" s="44"/>
      <c r="G150" s="44"/>
      <c r="H150" s="44"/>
      <c r="I150" s="135"/>
      <c r="J150" s="44"/>
      <c r="K150" s="44"/>
      <c r="L150" s="44"/>
      <c r="M150" s="44"/>
      <c r="N150" s="135"/>
      <c r="O150" s="44"/>
      <c r="P150" s="44"/>
      <c r="Q150" s="44"/>
    </row>
    <row r="151" spans="1:17" s="61" customFormat="1" hidden="1" x14ac:dyDescent="0.25">
      <c r="A151" s="42" t="s">
        <v>112</v>
      </c>
      <c r="B151" s="43"/>
      <c r="C151" s="59">
        <v>30000</v>
      </c>
      <c r="D151" s="59">
        <f>C151*11000/1000000</f>
        <v>330</v>
      </c>
      <c r="E151" s="44"/>
      <c r="F151" s="44"/>
      <c r="G151" s="44"/>
      <c r="H151" s="44"/>
      <c r="I151" s="137"/>
      <c r="J151" s="44"/>
      <c r="K151" s="44"/>
      <c r="L151" s="44"/>
      <c r="M151" s="44"/>
      <c r="N151" s="137"/>
      <c r="O151" s="44"/>
      <c r="P151" s="44"/>
      <c r="Q151" s="44"/>
    </row>
    <row r="152" spans="1:17" s="61" customFormat="1" hidden="1" x14ac:dyDescent="0.25">
      <c r="A152" s="42" t="s">
        <v>113</v>
      </c>
      <c r="B152" s="43">
        <v>1400</v>
      </c>
      <c r="C152" s="59"/>
      <c r="D152" s="59"/>
      <c r="E152" s="44"/>
      <c r="F152" s="44"/>
      <c r="G152" s="44"/>
      <c r="H152" s="44"/>
      <c r="I152" s="137"/>
      <c r="J152" s="44"/>
      <c r="K152" s="44"/>
      <c r="L152" s="44"/>
      <c r="M152" s="44"/>
      <c r="N152" s="137"/>
      <c r="O152" s="44"/>
      <c r="P152" s="44"/>
      <c r="Q152" s="44"/>
    </row>
    <row r="153" spans="1:17" s="46" customFormat="1" hidden="1" x14ac:dyDescent="0.25">
      <c r="A153" s="45" t="s">
        <v>114</v>
      </c>
      <c r="B153" s="47"/>
      <c r="E153" s="48"/>
      <c r="F153" s="48"/>
      <c r="G153" s="48"/>
      <c r="H153" s="48"/>
      <c r="I153" s="136"/>
      <c r="J153" s="48"/>
      <c r="K153" s="48"/>
      <c r="L153" s="48"/>
      <c r="M153" s="48"/>
      <c r="N153" s="136"/>
      <c r="O153" s="48"/>
      <c r="P153" s="48"/>
      <c r="Q153" s="48"/>
    </row>
    <row r="154" spans="1:17" s="61" customFormat="1" hidden="1" x14ac:dyDescent="0.25">
      <c r="A154" s="42" t="s">
        <v>115</v>
      </c>
      <c r="B154" s="43">
        <v>1000</v>
      </c>
      <c r="C154" s="59"/>
      <c r="D154" s="59"/>
      <c r="E154" s="44"/>
      <c r="F154" s="44"/>
      <c r="G154" s="44"/>
      <c r="H154" s="44"/>
      <c r="I154" s="137"/>
      <c r="J154" s="44"/>
      <c r="K154" s="44"/>
      <c r="L154" s="44"/>
      <c r="M154" s="44"/>
      <c r="N154" s="137"/>
      <c r="O154" s="44"/>
      <c r="P154" s="44"/>
      <c r="Q154" s="44"/>
    </row>
    <row r="155" spans="1:17" s="46" customFormat="1" hidden="1" x14ac:dyDescent="0.25">
      <c r="A155" s="45" t="s">
        <v>116</v>
      </c>
      <c r="C155" s="69"/>
      <c r="D155" s="69"/>
      <c r="E155" s="48"/>
      <c r="F155" s="48"/>
      <c r="G155" s="48"/>
      <c r="H155" s="48"/>
      <c r="I155" s="136"/>
      <c r="J155" s="48"/>
      <c r="K155" s="48"/>
      <c r="L155" s="48"/>
      <c r="M155" s="48"/>
      <c r="N155" s="136"/>
      <c r="O155" s="48"/>
      <c r="P155" s="48"/>
      <c r="Q155" s="48"/>
    </row>
    <row r="156" spans="1:17" s="46" customFormat="1" hidden="1" x14ac:dyDescent="0.25">
      <c r="A156" s="45" t="s">
        <v>117</v>
      </c>
      <c r="C156" s="69"/>
      <c r="D156" s="69"/>
      <c r="E156" s="48"/>
      <c r="F156" s="48"/>
      <c r="G156" s="48"/>
      <c r="H156" s="48"/>
      <c r="I156" s="136"/>
      <c r="J156" s="48"/>
      <c r="K156" s="48"/>
      <c r="L156" s="48"/>
      <c r="M156" s="48"/>
      <c r="N156" s="136"/>
      <c r="O156" s="48"/>
      <c r="P156" s="48"/>
      <c r="Q156" s="48"/>
    </row>
    <row r="157" spans="1:17" s="46" customFormat="1" hidden="1" x14ac:dyDescent="0.25">
      <c r="A157" s="45" t="s">
        <v>118</v>
      </c>
      <c r="C157" s="69"/>
      <c r="D157" s="69"/>
      <c r="E157" s="48"/>
      <c r="F157" s="48"/>
      <c r="G157" s="48"/>
      <c r="H157" s="48"/>
      <c r="I157" s="136"/>
      <c r="J157" s="48"/>
      <c r="K157" s="48"/>
      <c r="L157" s="48"/>
      <c r="M157" s="48"/>
      <c r="N157" s="136"/>
      <c r="O157" s="48"/>
      <c r="P157" s="48"/>
      <c r="Q157" s="48"/>
    </row>
    <row r="158" spans="1:17" s="61" customFormat="1" hidden="1" x14ac:dyDescent="0.25">
      <c r="A158" s="42" t="s">
        <v>119</v>
      </c>
      <c r="B158" s="43">
        <v>440</v>
      </c>
      <c r="C158" s="59"/>
      <c r="D158" s="59"/>
      <c r="E158" s="44"/>
      <c r="F158" s="44"/>
      <c r="G158" s="44"/>
      <c r="H158" s="44"/>
      <c r="I158" s="137"/>
      <c r="J158" s="44"/>
      <c r="K158" s="44"/>
      <c r="L158" s="44"/>
      <c r="M158" s="44"/>
      <c r="N158" s="137"/>
      <c r="O158" s="44"/>
      <c r="P158" s="44"/>
      <c r="Q158" s="44"/>
    </row>
    <row r="159" spans="1:17" s="46" customFormat="1" hidden="1" x14ac:dyDescent="0.25">
      <c r="A159" s="45" t="s">
        <v>120</v>
      </c>
      <c r="B159" s="47"/>
      <c r="C159" s="69"/>
      <c r="D159" s="69"/>
      <c r="E159" s="48"/>
      <c r="F159" s="48"/>
      <c r="G159" s="48"/>
      <c r="H159" s="48"/>
      <c r="I159" s="136"/>
      <c r="J159" s="48"/>
      <c r="K159" s="48"/>
      <c r="L159" s="48"/>
      <c r="M159" s="48"/>
      <c r="N159" s="136"/>
      <c r="O159" s="48"/>
      <c r="P159" s="48"/>
      <c r="Q159" s="48"/>
    </row>
    <row r="160" spans="1:17" s="46" customFormat="1" hidden="1" x14ac:dyDescent="0.25">
      <c r="A160" s="45" t="s">
        <v>121</v>
      </c>
      <c r="B160" s="47"/>
      <c r="C160" s="69"/>
      <c r="D160" s="69"/>
      <c r="E160" s="48"/>
      <c r="F160" s="48"/>
      <c r="G160" s="48"/>
      <c r="H160" s="48"/>
      <c r="I160" s="136"/>
      <c r="J160" s="48"/>
      <c r="K160" s="48"/>
      <c r="L160" s="48"/>
      <c r="M160" s="48"/>
      <c r="N160" s="136"/>
      <c r="O160" s="48"/>
      <c r="P160" s="48"/>
      <c r="Q160" s="48"/>
    </row>
    <row r="161" spans="1:17" s="61" customFormat="1" hidden="1" x14ac:dyDescent="0.25">
      <c r="A161" s="42" t="s">
        <v>122</v>
      </c>
      <c r="B161" s="43">
        <v>1000</v>
      </c>
      <c r="C161" s="59"/>
      <c r="D161" s="59"/>
      <c r="E161" s="44"/>
      <c r="F161" s="44"/>
      <c r="G161" s="44"/>
      <c r="H161" s="44"/>
      <c r="I161" s="137"/>
      <c r="J161" s="44"/>
      <c r="K161" s="44"/>
      <c r="L161" s="44"/>
      <c r="M161" s="44"/>
      <c r="N161" s="137"/>
      <c r="O161" s="44"/>
      <c r="P161" s="44"/>
      <c r="Q161" s="44"/>
    </row>
    <row r="162" spans="1:17" s="61" customFormat="1" hidden="1" x14ac:dyDescent="0.25">
      <c r="A162" s="42" t="s">
        <v>123</v>
      </c>
      <c r="B162" s="43">
        <v>700</v>
      </c>
      <c r="C162" s="59"/>
      <c r="D162" s="59"/>
      <c r="E162" s="44"/>
      <c r="F162" s="44"/>
      <c r="G162" s="44"/>
      <c r="H162" s="44"/>
      <c r="I162" s="137"/>
      <c r="J162" s="44"/>
      <c r="K162" s="44"/>
      <c r="L162" s="44"/>
      <c r="M162" s="44"/>
      <c r="N162" s="137"/>
      <c r="O162" s="44"/>
      <c r="P162" s="44"/>
      <c r="Q162" s="44"/>
    </row>
    <row r="163" spans="1:17" s="61" customFormat="1" hidden="1" x14ac:dyDescent="0.25">
      <c r="A163" s="42" t="s">
        <v>124</v>
      </c>
      <c r="B163" s="43">
        <v>600</v>
      </c>
      <c r="C163" s="59"/>
      <c r="D163" s="59"/>
      <c r="E163" s="44"/>
      <c r="F163" s="44"/>
      <c r="G163" s="44"/>
      <c r="H163" s="44"/>
      <c r="I163" s="137"/>
      <c r="J163" s="44"/>
      <c r="K163" s="44"/>
      <c r="L163" s="44"/>
      <c r="M163" s="44"/>
      <c r="N163" s="137"/>
      <c r="O163" s="44"/>
      <c r="P163" s="44"/>
      <c r="Q163" s="44"/>
    </row>
    <row r="164" spans="1:17" s="46" customFormat="1" hidden="1" x14ac:dyDescent="0.25">
      <c r="A164" s="45" t="s">
        <v>125</v>
      </c>
      <c r="B164" s="47"/>
      <c r="C164" s="69"/>
      <c r="D164" s="69"/>
      <c r="E164" s="48"/>
      <c r="F164" s="48"/>
      <c r="G164" s="48"/>
      <c r="H164" s="48"/>
      <c r="I164" s="136"/>
      <c r="J164" s="48"/>
      <c r="K164" s="48"/>
      <c r="L164" s="48"/>
      <c r="M164" s="48"/>
      <c r="N164" s="136"/>
      <c r="O164" s="48"/>
      <c r="P164" s="48"/>
      <c r="Q164" s="48"/>
    </row>
    <row r="165" spans="1:17" s="61" customFormat="1" hidden="1" x14ac:dyDescent="0.25">
      <c r="A165" s="42"/>
      <c r="B165" s="43"/>
      <c r="C165" s="59"/>
      <c r="D165" s="59"/>
      <c r="E165" s="44"/>
      <c r="F165" s="44"/>
      <c r="G165" s="44"/>
      <c r="H165" s="44"/>
      <c r="I165" s="137"/>
      <c r="J165" s="44"/>
      <c r="K165" s="44"/>
      <c r="L165" s="44"/>
      <c r="M165" s="44"/>
      <c r="N165" s="137"/>
      <c r="O165" s="44"/>
      <c r="P165" s="44"/>
      <c r="Q165" s="44"/>
    </row>
    <row r="166" spans="1:17" s="40" customFormat="1" hidden="1" x14ac:dyDescent="0.25">
      <c r="A166" s="42"/>
      <c r="B166" s="43"/>
      <c r="C166" s="59"/>
      <c r="D166" s="43"/>
      <c r="E166" s="44"/>
      <c r="F166" s="44"/>
      <c r="G166" s="44"/>
      <c r="H166" s="44"/>
      <c r="I166" s="135"/>
      <c r="J166" s="44"/>
      <c r="K166" s="44"/>
      <c r="L166" s="44"/>
      <c r="M166" s="44"/>
      <c r="N166" s="135"/>
      <c r="O166" s="44"/>
      <c r="P166" s="44"/>
      <c r="Q166" s="44"/>
    </row>
    <row r="167" spans="1:17" s="40" customFormat="1" ht="13" hidden="1" x14ac:dyDescent="0.25">
      <c r="A167" s="51"/>
      <c r="B167" s="52">
        <f>SUM(B150:B166)</f>
        <v>6640</v>
      </c>
      <c r="C167" s="52">
        <f>SUM(C150:C166)</f>
        <v>30000</v>
      </c>
      <c r="D167" s="52">
        <f>SUM(D150:D166)</f>
        <v>330</v>
      </c>
      <c r="E167" s="53">
        <f>B167+D167</f>
        <v>6970</v>
      </c>
      <c r="F167" s="55"/>
      <c r="G167" s="55"/>
      <c r="H167" s="55"/>
      <c r="I167" s="135"/>
      <c r="J167" s="53" t="e">
        <f>#REF!+I167</f>
        <v>#REF!</v>
      </c>
      <c r="K167" s="55"/>
      <c r="L167" s="55"/>
      <c r="M167" s="55"/>
      <c r="N167" s="135"/>
      <c r="O167" s="53" t="e">
        <f>#REF!+N167</f>
        <v>#REF!</v>
      </c>
      <c r="P167" s="55"/>
      <c r="Q167" s="55"/>
    </row>
    <row r="168" spans="1:17" s="40" customFormat="1" ht="13" hidden="1" x14ac:dyDescent="0.25">
      <c r="A168" s="51"/>
      <c r="B168" s="58"/>
      <c r="C168" s="58"/>
      <c r="D168" s="58"/>
      <c r="E168" s="54">
        <v>0.8</v>
      </c>
      <c r="F168" s="54"/>
      <c r="G168" s="54"/>
      <c r="H168" s="54"/>
      <c r="I168" s="135"/>
      <c r="J168" s="54">
        <v>0.8</v>
      </c>
      <c r="K168" s="54"/>
      <c r="L168" s="54"/>
      <c r="M168" s="54"/>
      <c r="N168" s="135"/>
      <c r="O168" s="54">
        <v>0.8</v>
      </c>
      <c r="P168" s="54"/>
      <c r="Q168" s="54"/>
    </row>
    <row r="169" spans="1:17" s="40" customFormat="1" ht="13" hidden="1" x14ac:dyDescent="0.25">
      <c r="A169" s="36" t="s">
        <v>126</v>
      </c>
      <c r="B169" s="58"/>
      <c r="C169" s="58"/>
      <c r="D169" s="58"/>
      <c r="E169" s="55"/>
      <c r="F169" s="55"/>
      <c r="G169" s="55"/>
      <c r="H169" s="55"/>
      <c r="I169" s="135"/>
      <c r="J169" s="55"/>
      <c r="K169" s="55"/>
      <c r="L169" s="55"/>
      <c r="M169" s="55"/>
      <c r="N169" s="135"/>
      <c r="O169" s="55"/>
      <c r="P169" s="55"/>
      <c r="Q169" s="55"/>
    </row>
    <row r="170" spans="1:17" s="40" customFormat="1" ht="13" hidden="1" x14ac:dyDescent="0.25">
      <c r="A170" s="42"/>
      <c r="B170" s="43"/>
      <c r="C170" s="43"/>
      <c r="D170" s="43"/>
      <c r="E170" s="55"/>
      <c r="F170" s="55"/>
      <c r="G170" s="55"/>
      <c r="H170" s="55"/>
      <c r="I170" s="135"/>
      <c r="J170" s="55"/>
      <c r="K170" s="55"/>
      <c r="L170" s="55"/>
      <c r="M170" s="55"/>
      <c r="N170" s="135"/>
      <c r="O170" s="55"/>
      <c r="P170" s="55"/>
      <c r="Q170" s="55"/>
    </row>
    <row r="171" spans="1:17" s="40" customFormat="1" ht="13" hidden="1" x14ac:dyDescent="0.25">
      <c r="A171" s="42" t="s">
        <v>127</v>
      </c>
      <c r="B171" s="43"/>
      <c r="C171" s="43">
        <v>1911158</v>
      </c>
      <c r="D171" s="43">
        <f t="shared" ref="D171:D184" si="59">C171*13000/1000000</f>
        <v>24845.054</v>
      </c>
      <c r="E171" s="55"/>
      <c r="F171" s="55"/>
      <c r="G171" s="55"/>
      <c r="H171" s="55"/>
      <c r="I171" s="135"/>
      <c r="J171" s="55"/>
      <c r="K171" s="55"/>
      <c r="L171" s="55"/>
      <c r="M171" s="55"/>
      <c r="N171" s="135"/>
      <c r="O171" s="55"/>
      <c r="P171" s="55"/>
      <c r="Q171" s="55"/>
    </row>
    <row r="172" spans="1:17" s="40" customFormat="1" ht="13" hidden="1" x14ac:dyDescent="0.25">
      <c r="A172" s="42" t="s">
        <v>128</v>
      </c>
      <c r="B172" s="43"/>
      <c r="C172" s="43">
        <v>36000</v>
      </c>
      <c r="D172" s="43">
        <f t="shared" si="59"/>
        <v>468</v>
      </c>
      <c r="E172" s="55"/>
      <c r="F172" s="55"/>
      <c r="G172" s="55"/>
      <c r="H172" s="55"/>
      <c r="I172" s="135"/>
      <c r="J172" s="55"/>
      <c r="K172" s="55"/>
      <c r="L172" s="55"/>
      <c r="M172" s="55"/>
      <c r="N172" s="135"/>
      <c r="O172" s="55"/>
      <c r="P172" s="55"/>
      <c r="Q172" s="55"/>
    </row>
    <row r="173" spans="1:17" s="40" customFormat="1" ht="13" hidden="1" x14ac:dyDescent="0.25">
      <c r="A173" s="42" t="s">
        <v>129</v>
      </c>
      <c r="B173" s="43"/>
      <c r="C173" s="43">
        <v>269000</v>
      </c>
      <c r="D173" s="43">
        <f t="shared" si="59"/>
        <v>3497</v>
      </c>
      <c r="E173" s="55"/>
      <c r="F173" s="55"/>
      <c r="G173" s="55"/>
      <c r="H173" s="55"/>
      <c r="I173" s="135"/>
      <c r="J173" s="55"/>
      <c r="K173" s="55"/>
      <c r="L173" s="55"/>
      <c r="M173" s="55"/>
      <c r="N173" s="135"/>
      <c r="O173" s="55"/>
      <c r="P173" s="55"/>
      <c r="Q173" s="55"/>
    </row>
    <row r="174" spans="1:17" s="40" customFormat="1" ht="13" hidden="1" x14ac:dyDescent="0.25">
      <c r="A174" s="42" t="s">
        <v>130</v>
      </c>
      <c r="B174" s="43"/>
      <c r="C174" s="43">
        <v>23000</v>
      </c>
      <c r="D174" s="43">
        <f t="shared" si="59"/>
        <v>299</v>
      </c>
      <c r="E174" s="55"/>
      <c r="F174" s="55"/>
      <c r="G174" s="55"/>
      <c r="H174" s="55"/>
      <c r="I174" s="135"/>
      <c r="J174" s="55"/>
      <c r="K174" s="55"/>
      <c r="L174" s="55"/>
      <c r="M174" s="55"/>
      <c r="N174" s="135"/>
      <c r="O174" s="55"/>
      <c r="P174" s="55"/>
      <c r="Q174" s="55"/>
    </row>
    <row r="175" spans="1:17" s="40" customFormat="1" ht="13" hidden="1" x14ac:dyDescent="0.25">
      <c r="A175" s="42" t="s">
        <v>131</v>
      </c>
      <c r="B175" s="43"/>
      <c r="C175" s="43">
        <v>30000</v>
      </c>
      <c r="D175" s="43">
        <f t="shared" si="59"/>
        <v>390</v>
      </c>
      <c r="E175" s="55"/>
      <c r="F175" s="55"/>
      <c r="G175" s="55"/>
      <c r="H175" s="55"/>
      <c r="I175" s="135"/>
      <c r="J175" s="55"/>
      <c r="K175" s="55"/>
      <c r="L175" s="55"/>
      <c r="M175" s="55"/>
      <c r="N175" s="135"/>
      <c r="O175" s="55"/>
      <c r="P175" s="55"/>
      <c r="Q175" s="55"/>
    </row>
    <row r="176" spans="1:17" s="40" customFormat="1" ht="13" hidden="1" x14ac:dyDescent="0.25">
      <c r="A176" s="42" t="s">
        <v>132</v>
      </c>
      <c r="B176" s="43"/>
      <c r="C176" s="43">
        <v>30000</v>
      </c>
      <c r="D176" s="43">
        <f t="shared" si="59"/>
        <v>390</v>
      </c>
      <c r="E176" s="55"/>
      <c r="F176" s="55"/>
      <c r="G176" s="55"/>
      <c r="H176" s="55"/>
      <c r="I176" s="135"/>
      <c r="J176" s="55"/>
      <c r="K176" s="55"/>
      <c r="L176" s="55"/>
      <c r="M176" s="55"/>
      <c r="N176" s="135"/>
      <c r="O176" s="55"/>
      <c r="P176" s="55"/>
      <c r="Q176" s="55"/>
    </row>
    <row r="177" spans="1:17" s="40" customFormat="1" ht="13" hidden="1" x14ac:dyDescent="0.25">
      <c r="A177" s="42" t="s">
        <v>133</v>
      </c>
      <c r="B177" s="43"/>
      <c r="C177" s="43">
        <v>25000</v>
      </c>
      <c r="D177" s="43">
        <f t="shared" si="59"/>
        <v>325</v>
      </c>
      <c r="E177" s="55"/>
      <c r="F177" s="55"/>
      <c r="G177" s="55"/>
      <c r="H177" s="55"/>
      <c r="I177" s="135"/>
      <c r="J177" s="55"/>
      <c r="K177" s="55"/>
      <c r="L177" s="55"/>
      <c r="M177" s="55"/>
      <c r="N177" s="135"/>
      <c r="O177" s="55"/>
      <c r="P177" s="55"/>
      <c r="Q177" s="55"/>
    </row>
    <row r="178" spans="1:17" s="40" customFormat="1" ht="13" hidden="1" x14ac:dyDescent="0.25">
      <c r="A178" s="42" t="s">
        <v>134</v>
      </c>
      <c r="B178" s="43"/>
      <c r="C178" s="43">
        <v>2000000</v>
      </c>
      <c r="D178" s="43">
        <f t="shared" si="59"/>
        <v>26000</v>
      </c>
      <c r="E178" s="55"/>
      <c r="F178" s="55"/>
      <c r="G178" s="55"/>
      <c r="H178" s="55"/>
      <c r="I178" s="135"/>
      <c r="J178" s="55"/>
      <c r="K178" s="55"/>
      <c r="L178" s="55"/>
      <c r="M178" s="55"/>
      <c r="N178" s="135"/>
      <c r="O178" s="55"/>
      <c r="P178" s="55"/>
      <c r="Q178" s="55"/>
    </row>
    <row r="179" spans="1:17" s="40" customFormat="1" ht="13" hidden="1" x14ac:dyDescent="0.25">
      <c r="A179" s="42" t="s">
        <v>135</v>
      </c>
      <c r="B179" s="43"/>
      <c r="C179" s="43">
        <v>36000</v>
      </c>
      <c r="D179" s="43">
        <f t="shared" si="59"/>
        <v>468</v>
      </c>
      <c r="E179" s="55"/>
      <c r="F179" s="55"/>
      <c r="G179" s="55"/>
      <c r="H179" s="55"/>
      <c r="I179" s="135"/>
      <c r="J179" s="55"/>
      <c r="K179" s="55"/>
      <c r="L179" s="55"/>
      <c r="M179" s="55"/>
      <c r="N179" s="135"/>
      <c r="O179" s="55"/>
      <c r="P179" s="55"/>
      <c r="Q179" s="55"/>
    </row>
    <row r="180" spans="1:17" s="40" customFormat="1" ht="13" hidden="1" x14ac:dyDescent="0.25">
      <c r="A180" s="42" t="s">
        <v>136</v>
      </c>
      <c r="B180" s="43"/>
      <c r="C180" s="43">
        <v>417000</v>
      </c>
      <c r="D180" s="43">
        <f t="shared" si="59"/>
        <v>5421</v>
      </c>
      <c r="E180" s="55"/>
      <c r="F180" s="55"/>
      <c r="G180" s="55"/>
      <c r="H180" s="55"/>
      <c r="I180" s="135"/>
      <c r="J180" s="55"/>
      <c r="K180" s="55"/>
      <c r="L180" s="55"/>
      <c r="M180" s="55"/>
      <c r="N180" s="135"/>
      <c r="O180" s="55"/>
      <c r="P180" s="55"/>
      <c r="Q180" s="55"/>
    </row>
    <row r="181" spans="1:17" s="40" customFormat="1" ht="13" hidden="1" x14ac:dyDescent="0.25">
      <c r="A181" s="42" t="s">
        <v>137</v>
      </c>
      <c r="B181" s="43"/>
      <c r="C181" s="43">
        <v>36000</v>
      </c>
      <c r="D181" s="43">
        <f t="shared" si="59"/>
        <v>468</v>
      </c>
      <c r="E181" s="55"/>
      <c r="F181" s="55"/>
      <c r="G181" s="55"/>
      <c r="H181" s="55"/>
      <c r="I181" s="135"/>
      <c r="J181" s="55"/>
      <c r="K181" s="55"/>
      <c r="L181" s="55"/>
      <c r="M181" s="55"/>
      <c r="N181" s="135"/>
      <c r="O181" s="55"/>
      <c r="P181" s="55"/>
      <c r="Q181" s="55"/>
    </row>
    <row r="182" spans="1:17" s="40" customFormat="1" ht="13" hidden="1" x14ac:dyDescent="0.25">
      <c r="A182" s="42" t="s">
        <v>138</v>
      </c>
      <c r="B182" s="43"/>
      <c r="C182" s="43">
        <v>160000</v>
      </c>
      <c r="D182" s="43">
        <f t="shared" si="59"/>
        <v>2080</v>
      </c>
      <c r="E182" s="55"/>
      <c r="F182" s="55"/>
      <c r="G182" s="55"/>
      <c r="H182" s="55"/>
      <c r="I182" s="135"/>
      <c r="J182" s="55"/>
      <c r="K182" s="55"/>
      <c r="L182" s="55"/>
      <c r="M182" s="55"/>
      <c r="N182" s="135"/>
      <c r="O182" s="55"/>
      <c r="P182" s="55"/>
      <c r="Q182" s="55"/>
    </row>
    <row r="183" spans="1:17" s="40" customFormat="1" ht="13" hidden="1" x14ac:dyDescent="0.25">
      <c r="A183" s="42" t="s">
        <v>139</v>
      </c>
      <c r="B183" s="43"/>
      <c r="C183" s="43">
        <v>155000</v>
      </c>
      <c r="D183" s="43">
        <f t="shared" si="59"/>
        <v>2015</v>
      </c>
      <c r="E183" s="55"/>
      <c r="F183" s="55"/>
      <c r="G183" s="55"/>
      <c r="H183" s="55"/>
      <c r="I183" s="135"/>
      <c r="J183" s="55"/>
      <c r="K183" s="55"/>
      <c r="L183" s="55"/>
      <c r="M183" s="55"/>
      <c r="N183" s="135"/>
      <c r="O183" s="55"/>
      <c r="P183" s="55"/>
      <c r="Q183" s="55"/>
    </row>
    <row r="184" spans="1:17" s="40" customFormat="1" ht="13" hidden="1" x14ac:dyDescent="0.25">
      <c r="A184" s="42" t="s">
        <v>140</v>
      </c>
      <c r="B184" s="43"/>
      <c r="C184" s="43">
        <v>260000</v>
      </c>
      <c r="D184" s="43">
        <f t="shared" si="59"/>
        <v>3380</v>
      </c>
      <c r="E184" s="55"/>
      <c r="F184" s="55"/>
      <c r="G184" s="55"/>
      <c r="H184" s="55"/>
      <c r="I184" s="135"/>
      <c r="J184" s="55"/>
      <c r="K184" s="55"/>
      <c r="L184" s="55"/>
      <c r="M184" s="55"/>
      <c r="N184" s="135"/>
      <c r="O184" s="55"/>
      <c r="P184" s="55"/>
      <c r="Q184" s="55"/>
    </row>
    <row r="185" spans="1:17" s="40" customFormat="1" ht="13" hidden="1" x14ac:dyDescent="0.25">
      <c r="A185" s="42"/>
      <c r="B185" s="43"/>
      <c r="C185" s="43"/>
      <c r="D185" s="43"/>
      <c r="E185" s="55"/>
      <c r="F185" s="55"/>
      <c r="G185" s="55"/>
      <c r="H185" s="55"/>
      <c r="I185" s="135"/>
      <c r="J185" s="55"/>
      <c r="K185" s="55"/>
      <c r="L185" s="55"/>
      <c r="M185" s="55"/>
      <c r="N185" s="135"/>
      <c r="O185" s="55"/>
      <c r="P185" s="55"/>
      <c r="Q185" s="55"/>
    </row>
    <row r="186" spans="1:17" s="40" customFormat="1" ht="13" hidden="1" x14ac:dyDescent="0.25">
      <c r="A186" s="42"/>
      <c r="B186" s="43"/>
      <c r="C186" s="43"/>
      <c r="D186" s="43"/>
      <c r="E186" s="55"/>
      <c r="F186" s="55"/>
      <c r="G186" s="55"/>
      <c r="H186" s="55"/>
      <c r="I186" s="135"/>
      <c r="J186" s="55"/>
      <c r="K186" s="55"/>
      <c r="L186" s="55"/>
      <c r="M186" s="55"/>
      <c r="N186" s="135"/>
      <c r="O186" s="55"/>
      <c r="P186" s="55"/>
      <c r="Q186" s="55"/>
    </row>
    <row r="187" spans="1:17" s="40" customFormat="1" ht="13" hidden="1" x14ac:dyDescent="0.25">
      <c r="A187" s="42"/>
      <c r="B187" s="43"/>
      <c r="C187" s="43"/>
      <c r="D187" s="43"/>
      <c r="E187" s="55"/>
      <c r="F187" s="55"/>
      <c r="G187" s="55"/>
      <c r="H187" s="55"/>
      <c r="I187" s="135"/>
      <c r="J187" s="55"/>
      <c r="K187" s="55"/>
      <c r="L187" s="55"/>
      <c r="M187" s="55"/>
      <c r="N187" s="135"/>
      <c r="O187" s="55"/>
      <c r="P187" s="55"/>
      <c r="Q187" s="55"/>
    </row>
    <row r="188" spans="1:17" s="40" customFormat="1" ht="13" hidden="1" x14ac:dyDescent="0.25">
      <c r="A188" s="42"/>
      <c r="B188" s="43"/>
      <c r="C188" s="43"/>
      <c r="D188" s="43"/>
      <c r="E188" s="55"/>
      <c r="F188" s="55"/>
      <c r="G188" s="55"/>
      <c r="H188" s="55"/>
      <c r="I188" s="135"/>
      <c r="J188" s="55"/>
      <c r="K188" s="55"/>
      <c r="L188" s="55"/>
      <c r="M188" s="55"/>
      <c r="N188" s="135"/>
      <c r="O188" s="55"/>
      <c r="P188" s="55"/>
      <c r="Q188" s="55"/>
    </row>
    <row r="189" spans="1:17" s="40" customFormat="1" ht="13" hidden="1" x14ac:dyDescent="0.25">
      <c r="A189" s="51"/>
      <c r="B189" s="52">
        <f>SUM(B171:B188)</f>
        <v>0</v>
      </c>
      <c r="C189" s="52">
        <f>SUM(C171:C188)</f>
        <v>5388158</v>
      </c>
      <c r="D189" s="52">
        <f>SUM(D171:D188)</f>
        <v>70046.054000000004</v>
      </c>
      <c r="E189" s="53">
        <f>B189+D189</f>
        <v>70046.054000000004</v>
      </c>
      <c r="F189" s="55"/>
      <c r="G189" s="55"/>
      <c r="H189" s="55"/>
      <c r="I189" s="135"/>
      <c r="J189" s="53" t="e">
        <f>#REF!+I189</f>
        <v>#REF!</v>
      </c>
      <c r="K189" s="55"/>
      <c r="L189" s="55"/>
      <c r="M189" s="55"/>
      <c r="N189" s="135"/>
      <c r="O189" s="53" t="e">
        <f>#REF!+N189</f>
        <v>#REF!</v>
      </c>
      <c r="P189" s="55"/>
      <c r="Q189" s="55"/>
    </row>
    <row r="190" spans="1:17" s="40" customFormat="1" ht="13" hidden="1" x14ac:dyDescent="0.25">
      <c r="A190" s="51"/>
      <c r="B190" s="58"/>
      <c r="C190" s="58"/>
      <c r="D190" s="58"/>
      <c r="E190" s="55"/>
      <c r="F190" s="55"/>
      <c r="G190" s="55"/>
      <c r="H190" s="55"/>
      <c r="I190" s="135"/>
      <c r="J190" s="55"/>
      <c r="K190" s="55"/>
      <c r="L190" s="55"/>
      <c r="M190" s="55"/>
      <c r="N190" s="135"/>
      <c r="O190" s="55"/>
      <c r="P190" s="55"/>
      <c r="Q190" s="55"/>
    </row>
    <row r="191" spans="1:17" s="40" customFormat="1" ht="13.5" hidden="1" thickBot="1" x14ac:dyDescent="0.3">
      <c r="A191" s="72" t="s">
        <v>141</v>
      </c>
      <c r="B191" s="73">
        <f>B67+B79+B103+B147+B167+B189</f>
        <v>849090</v>
      </c>
      <c r="C191" s="73">
        <f>C67+C79+C103+C147+C167+C189</f>
        <v>9973158</v>
      </c>
      <c r="D191" s="73">
        <f>D67+D79+D103+D147+D167+D189</f>
        <v>125891.054</v>
      </c>
      <c r="E191" s="73">
        <f>E67+E79+E103+E147+E167+E189</f>
        <v>974981.054</v>
      </c>
      <c r="F191" s="73"/>
      <c r="G191" s="73"/>
      <c r="H191" s="66"/>
      <c r="I191" s="135"/>
      <c r="J191" s="73" t="e">
        <f>J67+J79+J103+J147+J167+J189</f>
        <v>#REF!</v>
      </c>
      <c r="K191" s="73"/>
      <c r="L191" s="73"/>
      <c r="M191" s="66"/>
      <c r="N191" s="135"/>
      <c r="O191" s="73" t="e">
        <f>O67+O79+O103+O147+O167+O189</f>
        <v>#REF!</v>
      </c>
      <c r="P191" s="73"/>
      <c r="Q191" s="73"/>
    </row>
    <row r="192" spans="1:17" hidden="1" x14ac:dyDescent="0.25">
      <c r="E192" s="75"/>
      <c r="F192" s="75"/>
      <c r="G192" s="75"/>
      <c r="H192" s="75"/>
      <c r="J192" s="75"/>
      <c r="K192" s="75"/>
      <c r="L192" s="75"/>
      <c r="M192" s="75"/>
      <c r="O192" s="75"/>
      <c r="P192" s="75"/>
      <c r="Q192" s="75"/>
    </row>
    <row r="193" spans="7:17" hidden="1" x14ac:dyDescent="0.25"/>
    <row r="194" spans="7:17" hidden="1" x14ac:dyDescent="0.25"/>
    <row r="195" spans="7:17" hidden="1" x14ac:dyDescent="0.25"/>
    <row r="196" spans="7:17" hidden="1" x14ac:dyDescent="0.25"/>
    <row r="197" spans="7:17" hidden="1" x14ac:dyDescent="0.25"/>
    <row r="198" spans="7:17" hidden="1" x14ac:dyDescent="0.25"/>
    <row r="199" spans="7:17" hidden="1" x14ac:dyDescent="0.25"/>
    <row r="200" spans="7:17" hidden="1" x14ac:dyDescent="0.25"/>
    <row r="201" spans="7:17" hidden="1" x14ac:dyDescent="0.25"/>
    <row r="202" spans="7:17" hidden="1" x14ac:dyDescent="0.25"/>
    <row r="203" spans="7:17" hidden="1" x14ac:dyDescent="0.25"/>
    <row r="204" spans="7:17" hidden="1" x14ac:dyDescent="0.25"/>
    <row r="205" spans="7:17" hidden="1" x14ac:dyDescent="0.25"/>
    <row r="206" spans="7:17" hidden="1" x14ac:dyDescent="0.25"/>
    <row r="207" spans="7:17" x14ac:dyDescent="0.25">
      <c r="G207" s="97"/>
      <c r="H207" s="97"/>
      <c r="L207" s="97"/>
      <c r="M207" s="97"/>
      <c r="Q207" s="97"/>
    </row>
  </sheetData>
  <mergeCells count="3">
    <mergeCell ref="A1:E1"/>
    <mergeCell ref="A2:E2"/>
    <mergeCell ref="A3:E3"/>
  </mergeCells>
  <printOptions horizontalCentered="1"/>
  <pageMargins left="0.74803149606299213" right="0.74803149606299213" top="0.98425196850393704" bottom="0.98425196850393704" header="0.51181102362204722" footer="0.51181102362204722"/>
  <pageSetup paperSize="9" scale="88" fitToHeight="0" orientation="portrait" r:id="rId1"/>
  <headerFooter alignWithMargins="0">
    <oddFooter>&amp;R&amp;P of &amp;N</oddFooter>
  </headerFooter>
  <ignoredErrors>
    <ignoredError sqref="I8:K8" numberStoredAsText="1"/>
    <ignoredError sqref="G31:L49 H50:K50 G14:L22 G24:L2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39"/>
  <sheetViews>
    <sheetView topLeftCell="B1" zoomScale="90" zoomScaleNormal="90" workbookViewId="0">
      <pane xSplit="6080" ySplit="2270" topLeftCell="A24" activePane="bottomRight"/>
      <selection activeCell="D67" sqref="D67"/>
      <selection pane="topRight" activeCell="A2" sqref="A2:E2"/>
      <selection pane="bottomLeft" activeCell="C27" sqref="C27:C31"/>
      <selection pane="bottomRight" activeCell="A33" sqref="A33"/>
    </sheetView>
  </sheetViews>
  <sheetFormatPr defaultColWidth="9.1796875" defaultRowHeight="12.5" x14ac:dyDescent="0.25"/>
  <cols>
    <col min="1" max="1" width="33" style="18" bestFit="1" customWidth="1"/>
    <col min="2" max="2" width="11.1796875" style="18" bestFit="1" customWidth="1"/>
    <col min="3" max="3" width="11" style="18" bestFit="1" customWidth="1"/>
    <col min="4" max="4" width="12.7265625" style="18" customWidth="1"/>
    <col min="5" max="5" width="10.81640625" style="18" bestFit="1" customWidth="1"/>
    <col min="6" max="6" width="13.453125" style="18" hidden="1" customWidth="1"/>
    <col min="7" max="7" width="14.81640625" style="18" hidden="1" customWidth="1"/>
    <col min="8" max="8" width="14" style="18" hidden="1" customWidth="1"/>
    <col min="9" max="9" width="10.81640625" style="18" hidden="1" customWidth="1"/>
    <col min="10" max="10" width="10.1796875" style="18" hidden="1" customWidth="1"/>
    <col min="11" max="11" width="8.81640625" style="18" hidden="1" customWidth="1"/>
    <col min="12" max="12" width="8.7265625" style="18" hidden="1" customWidth="1"/>
    <col min="13" max="14" width="9.453125" style="18" hidden="1" customWidth="1"/>
    <col min="15" max="17" width="11.26953125" style="18" hidden="1" customWidth="1"/>
    <col min="18" max="18" width="10.453125" style="18" hidden="1" customWidth="1"/>
    <col min="19" max="19" width="8.81640625" style="31" hidden="1" customWidth="1"/>
    <col min="20" max="20" width="10.26953125" style="31" hidden="1" customWidth="1"/>
    <col min="21" max="16384" width="9.1796875" style="18"/>
  </cols>
  <sheetData>
    <row r="1" spans="1:24" customFormat="1" x14ac:dyDescent="0.25">
      <c r="A1" s="164" t="s">
        <v>0</v>
      </c>
      <c r="B1" s="164"/>
      <c r="C1" s="164"/>
      <c r="D1" s="164"/>
      <c r="E1" s="164"/>
      <c r="F1" s="1"/>
      <c r="G1" s="1"/>
      <c r="H1" s="1"/>
      <c r="I1" s="1"/>
      <c r="S1" s="2"/>
      <c r="T1" s="2"/>
    </row>
    <row r="2" spans="1:24" customFormat="1" x14ac:dyDescent="0.25">
      <c r="A2" s="165" t="s">
        <v>1</v>
      </c>
      <c r="B2" s="164"/>
      <c r="C2" s="164"/>
      <c r="D2" s="164"/>
      <c r="E2" s="164"/>
      <c r="F2" s="1"/>
      <c r="G2" s="1"/>
      <c r="H2" s="1"/>
      <c r="I2" s="1"/>
      <c r="S2" s="2"/>
      <c r="T2" s="2"/>
    </row>
    <row r="3" spans="1:24" customFormat="1" x14ac:dyDescent="0.25">
      <c r="A3" s="165" t="s">
        <v>142</v>
      </c>
      <c r="B3" s="164"/>
      <c r="C3" s="164"/>
      <c r="D3" s="164"/>
      <c r="E3" s="164"/>
      <c r="F3" s="1"/>
      <c r="G3" s="1"/>
      <c r="H3" s="1"/>
      <c r="I3" s="1"/>
      <c r="S3" s="2"/>
      <c r="T3" s="2"/>
    </row>
    <row r="4" spans="1:24" customFormat="1" x14ac:dyDescent="0.25">
      <c r="S4" s="2"/>
      <c r="T4" s="2"/>
    </row>
    <row r="5" spans="1:24" customFormat="1" ht="13" x14ac:dyDescent="0.3">
      <c r="A5" s="3"/>
      <c r="B5" s="3"/>
      <c r="C5" s="3"/>
      <c r="D5" s="4" t="s">
        <v>2</v>
      </c>
      <c r="E5" s="3"/>
      <c r="F5" s="5"/>
      <c r="G5" s="5"/>
      <c r="H5" s="5"/>
      <c r="I5" s="5"/>
      <c r="J5" s="5"/>
      <c r="K5" s="3"/>
      <c r="L5" s="3"/>
      <c r="M5" s="3"/>
      <c r="N5" s="3"/>
      <c r="O5" s="3"/>
      <c r="P5" s="6"/>
      <c r="S5" s="2"/>
      <c r="T5" s="2"/>
    </row>
    <row r="6" spans="1:24" customFormat="1" ht="13" x14ac:dyDescent="0.3">
      <c r="A6" s="7" t="s">
        <v>3</v>
      </c>
      <c r="B6" s="7" t="s">
        <v>4</v>
      </c>
      <c r="C6" s="7" t="s">
        <v>5</v>
      </c>
      <c r="D6" s="7" t="s">
        <v>6</v>
      </c>
      <c r="E6" s="7" t="s">
        <v>2</v>
      </c>
      <c r="F6" s="8" t="s">
        <v>7</v>
      </c>
      <c r="G6" s="8" t="s">
        <v>2</v>
      </c>
      <c r="H6" s="8" t="s">
        <v>8</v>
      </c>
      <c r="I6" s="8" t="s">
        <v>9</v>
      </c>
      <c r="J6" s="8" t="s">
        <v>10</v>
      </c>
      <c r="K6" s="7" t="s">
        <v>11</v>
      </c>
      <c r="L6" s="7" t="s">
        <v>12</v>
      </c>
      <c r="M6" s="7" t="s">
        <v>13</v>
      </c>
      <c r="N6" s="7" t="s">
        <v>14</v>
      </c>
      <c r="O6" s="7" t="s">
        <v>4</v>
      </c>
      <c r="P6" s="9"/>
      <c r="S6" s="2"/>
      <c r="T6" s="2"/>
      <c r="U6" s="10"/>
    </row>
    <row r="7" spans="1:24" customFormat="1" ht="13" x14ac:dyDescent="0.3">
      <c r="A7" s="7"/>
      <c r="B7" s="7">
        <v>2017</v>
      </c>
      <c r="C7" s="11">
        <v>42735</v>
      </c>
      <c r="D7" s="7">
        <v>2017</v>
      </c>
      <c r="E7" s="7" t="s">
        <v>14</v>
      </c>
      <c r="F7" s="8" t="s">
        <v>15</v>
      </c>
      <c r="G7" s="8" t="s">
        <v>16</v>
      </c>
      <c r="H7" s="8" t="s">
        <v>17</v>
      </c>
      <c r="I7" s="12" t="s">
        <v>18</v>
      </c>
      <c r="J7" s="12" t="s">
        <v>19</v>
      </c>
      <c r="K7" s="7" t="s">
        <v>20</v>
      </c>
      <c r="L7" s="7"/>
      <c r="M7" s="7"/>
      <c r="N7" s="7">
        <v>2013</v>
      </c>
      <c r="O7" s="7"/>
      <c r="P7" s="9"/>
      <c r="S7" s="2"/>
      <c r="T7" s="2"/>
    </row>
    <row r="8" spans="1:24" customFormat="1" ht="13" x14ac:dyDescent="0.3">
      <c r="A8" s="13"/>
      <c r="B8" s="14"/>
      <c r="C8" s="15"/>
      <c r="D8" s="14"/>
      <c r="E8" s="14"/>
      <c r="F8" s="16"/>
      <c r="G8" s="16"/>
      <c r="H8" s="16"/>
      <c r="I8" s="16"/>
      <c r="J8" s="16"/>
      <c r="K8" s="14"/>
      <c r="L8" s="14"/>
      <c r="M8" s="14"/>
      <c r="N8" s="14"/>
      <c r="O8" s="14"/>
      <c r="P8" s="9"/>
      <c r="S8" s="2"/>
      <c r="T8" s="2"/>
    </row>
    <row r="9" spans="1:24" customForma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8"/>
      <c r="S9" s="2"/>
      <c r="T9" s="2"/>
    </row>
    <row r="10" spans="1:24" customFormat="1" x14ac:dyDescent="0.25">
      <c r="A10" s="17" t="s">
        <v>21</v>
      </c>
      <c r="B10" s="19">
        <v>0</v>
      </c>
      <c r="C10" s="19">
        <f>'[3]ME-AC'!I11/1000000</f>
        <v>0</v>
      </c>
      <c r="D10" s="19">
        <f>'[3]ME-AC'!J11/1000000</f>
        <v>0</v>
      </c>
      <c r="E10" s="19">
        <f>C10+D10</f>
        <v>0</v>
      </c>
      <c r="F10" s="19">
        <f>'[3]ME-AC'!L11/1000000</f>
        <v>0</v>
      </c>
      <c r="G10" s="19">
        <f>'[3]ME-AC'!M11/1000000</f>
        <v>0</v>
      </c>
      <c r="H10" s="19">
        <f>G10</f>
        <v>0</v>
      </c>
      <c r="I10" s="19">
        <v>592.287871</v>
      </c>
      <c r="J10" s="19">
        <f>E10-I10</f>
        <v>-592.287871</v>
      </c>
      <c r="K10" s="19"/>
      <c r="L10" s="19">
        <f>J10+K10</f>
        <v>-592.287871</v>
      </c>
      <c r="M10" s="19"/>
      <c r="N10" s="19">
        <f>L10+M10</f>
        <v>-592.287871</v>
      </c>
      <c r="O10" s="19">
        <v>0</v>
      </c>
      <c r="P10" s="20"/>
      <c r="Q10" s="21">
        <v>0</v>
      </c>
      <c r="S10" s="2"/>
      <c r="T10" s="2"/>
    </row>
    <row r="11" spans="1:24" customFormat="1" x14ac:dyDescent="0.25">
      <c r="A11" s="17" t="s">
        <v>22</v>
      </c>
      <c r="B11" s="19">
        <v>60000</v>
      </c>
      <c r="C11" s="19">
        <f>'[3]ME-Mek'!I35/1000000</f>
        <v>52063.123017320206</v>
      </c>
      <c r="D11" s="19">
        <f>+'[3]ME-Mek'!J35/100000</f>
        <v>0</v>
      </c>
      <c r="E11" s="19">
        <f>C11+D11</f>
        <v>52063.123017320206</v>
      </c>
      <c r="F11" s="19">
        <f>'[3]ME-Mek'!L35/1000000</f>
        <v>21178.138362000002</v>
      </c>
      <c r="G11" s="19">
        <f>'[3]ME-Mek'!M35/1000000</f>
        <v>26491.715575845203</v>
      </c>
      <c r="H11" s="19">
        <v>42414</v>
      </c>
      <c r="I11" s="19">
        <v>80807.137676327198</v>
      </c>
      <c r="J11" s="19">
        <f t="shared" ref="J11:J29" si="0">E11-I11</f>
        <v>-28744.014659006993</v>
      </c>
      <c r="K11" s="19"/>
      <c r="L11" s="19">
        <f t="shared" ref="L11:L31" si="1">J11+K11</f>
        <v>-28744.014659006993</v>
      </c>
      <c r="M11" s="19" t="e">
        <f>#REF!</f>
        <v>#REF!</v>
      </c>
      <c r="N11" s="19" t="e">
        <f>L11+M11</f>
        <v>#REF!</v>
      </c>
      <c r="O11" s="19">
        <v>80000</v>
      </c>
      <c r="P11" s="20">
        <f>+E11-'[3]ME-Mek'!K35/1000000</f>
        <v>0</v>
      </c>
      <c r="Q11" s="21">
        <f t="shared" ref="Q11:Q36" si="2">J11/O11</f>
        <v>-0.35930018323758739</v>
      </c>
      <c r="S11" s="2">
        <f>'[3]ME-Mek'!R35</f>
        <v>0</v>
      </c>
      <c r="T11" s="2"/>
      <c r="W11" s="76">
        <f>B11-E11</f>
        <v>7936.8769826797943</v>
      </c>
      <c r="X11" s="21">
        <f t="shared" ref="X11:X13" si="3">W11/B11</f>
        <v>0.13228128304466324</v>
      </c>
    </row>
    <row r="12" spans="1:24" customFormat="1" x14ac:dyDescent="0.25">
      <c r="A12" s="17" t="s">
        <v>23</v>
      </c>
      <c r="B12" s="19">
        <v>140000</v>
      </c>
      <c r="C12" s="19">
        <f>+'[3]ME-Elek'!I26/1000000</f>
        <v>69273.046955056707</v>
      </c>
      <c r="D12" s="19">
        <f>+'[3]ME-Elek'!J26/1000000</f>
        <v>0</v>
      </c>
      <c r="E12" s="19">
        <f>C12+D12</f>
        <v>69273.046955056707</v>
      </c>
      <c r="F12" s="19">
        <f>'[3]ME-Elek'!L26/1000000</f>
        <v>53686.457387040697</v>
      </c>
      <c r="G12" s="19">
        <f>'[3]ME-Elek'!M26/1000000</f>
        <v>15586.589568016014</v>
      </c>
      <c r="H12" s="19">
        <v>42414</v>
      </c>
      <c r="I12" s="19">
        <v>100251.961144941</v>
      </c>
      <c r="J12" s="19">
        <f t="shared" si="0"/>
        <v>-30978.914189884294</v>
      </c>
      <c r="K12" s="19">
        <v>4900</v>
      </c>
      <c r="L12" s="19">
        <f t="shared" si="1"/>
        <v>-26078.914189884294</v>
      </c>
      <c r="M12" s="19"/>
      <c r="N12" s="19">
        <f>L12+M12</f>
        <v>-26078.914189884294</v>
      </c>
      <c r="O12" s="19">
        <v>78000</v>
      </c>
      <c r="P12" s="20">
        <f>+E12-'[3]ME-Elek'!K26/1000000</f>
        <v>0</v>
      </c>
      <c r="Q12" s="21">
        <f t="shared" si="2"/>
        <v>-0.3971655665369781</v>
      </c>
      <c r="R12" s="2"/>
      <c r="S12" s="2">
        <f>'[3]ME-Elek'!R26/1000000</f>
        <v>0</v>
      </c>
      <c r="T12" s="2"/>
      <c r="W12" s="77">
        <f t="shared" ref="W12:W35" si="4">B12-E12</f>
        <v>70726.953044943293</v>
      </c>
      <c r="X12" s="78">
        <f t="shared" si="3"/>
        <v>0.50519252174959495</v>
      </c>
    </row>
    <row r="13" spans="1:24" customFormat="1" x14ac:dyDescent="0.25">
      <c r="A13" s="17" t="s">
        <v>24</v>
      </c>
      <c r="B13" s="19">
        <v>40000</v>
      </c>
      <c r="C13" s="19">
        <f>+'[3]ME-SOM'!I15/1000000</f>
        <v>4942.7547990000003</v>
      </c>
      <c r="D13" s="19">
        <f>+'[3]ME-SOM'!J15/1000000</f>
        <v>800</v>
      </c>
      <c r="E13" s="19">
        <f>C13+D13</f>
        <v>5742.7547990000003</v>
      </c>
      <c r="F13" s="19">
        <f>'[3]ME-SOM'!L15/1000000</f>
        <v>328.18</v>
      </c>
      <c r="G13" s="19">
        <f>'[3]ME-SOM'!M15/1000000</f>
        <v>4614.574799</v>
      </c>
      <c r="H13" s="19">
        <f>G13</f>
        <v>4614.574799</v>
      </c>
      <c r="I13" s="19">
        <v>969.03968999999995</v>
      </c>
      <c r="J13" s="19">
        <f t="shared" si="0"/>
        <v>4773.7151090000007</v>
      </c>
      <c r="K13" s="19"/>
      <c r="L13" s="19">
        <f t="shared" si="1"/>
        <v>4773.7151090000007</v>
      </c>
      <c r="M13" s="19"/>
      <c r="N13" s="19">
        <f t="shared" ref="N13:N29" si="5">L13+M13</f>
        <v>4773.7151090000007</v>
      </c>
      <c r="O13" s="19">
        <v>2000</v>
      </c>
      <c r="P13" s="20">
        <f>+E13-'[3]ME-SOM'!K15/1000000</f>
        <v>0</v>
      </c>
      <c r="Q13" s="21">
        <f t="shared" si="2"/>
        <v>2.3868575545000001</v>
      </c>
      <c r="R13" s="22">
        <f>R51</f>
        <v>48500</v>
      </c>
      <c r="S13" s="2"/>
      <c r="T13" s="2">
        <f>SUM(D10:D13)+R13</f>
        <v>49300</v>
      </c>
      <c r="W13" s="77">
        <f t="shared" si="4"/>
        <v>34257.245200999998</v>
      </c>
      <c r="X13" s="78">
        <f t="shared" si="3"/>
        <v>0.85643113002499993</v>
      </c>
    </row>
    <row r="14" spans="1:24" customFormat="1" x14ac:dyDescent="0.25">
      <c r="A14" s="17"/>
      <c r="B14" s="19"/>
      <c r="C14" s="19"/>
      <c r="D14" s="19"/>
      <c r="E14" s="19"/>
      <c r="F14" s="19"/>
      <c r="G14" s="19"/>
      <c r="H14" s="19"/>
      <c r="I14" s="19">
        <f>F14+H14</f>
        <v>0</v>
      </c>
      <c r="J14" s="19">
        <f t="shared" si="0"/>
        <v>0</v>
      </c>
      <c r="K14" s="19"/>
      <c r="L14" s="19"/>
      <c r="M14" s="19"/>
      <c r="N14" s="19"/>
      <c r="O14" s="19"/>
      <c r="P14" s="20">
        <f>SUM(D10:D13)</f>
        <v>800</v>
      </c>
      <c r="Q14" s="21"/>
      <c r="S14" s="2"/>
      <c r="T14" s="2"/>
      <c r="W14" s="76"/>
    </row>
    <row r="15" spans="1:24" customFormat="1" x14ac:dyDescent="0.25">
      <c r="A15" s="17" t="s">
        <v>25</v>
      </c>
      <c r="B15" s="19">
        <v>160000</v>
      </c>
      <c r="C15" s="19">
        <f>+'[3]ACR-TRADING'!I49/1000000</f>
        <v>31129.715135739229</v>
      </c>
      <c r="D15" s="19">
        <f>+'[3]ACR-TRADING'!J49/1000000</f>
        <v>11607</v>
      </c>
      <c r="E15" s="19">
        <f>C15+D15</f>
        <v>42736.715135739229</v>
      </c>
      <c r="F15" s="19" t="e">
        <f>#REF!/1000000</f>
        <v>#REF!</v>
      </c>
      <c r="G15" s="19" t="e">
        <f>#REF!/1000000</f>
        <v>#REF!</v>
      </c>
      <c r="H15" s="19" t="e">
        <f>#REF!/1000000</f>
        <v>#REF!</v>
      </c>
      <c r="I15" s="19">
        <v>109340.14217299999</v>
      </c>
      <c r="J15" s="19">
        <f t="shared" si="0"/>
        <v>-66603.427037260757</v>
      </c>
      <c r="K15" s="19"/>
      <c r="L15" s="19">
        <f t="shared" si="1"/>
        <v>-66603.427037260757</v>
      </c>
      <c r="M15" s="19">
        <f>G93</f>
        <v>0</v>
      </c>
      <c r="N15" s="19">
        <f t="shared" si="5"/>
        <v>-66603.427037260757</v>
      </c>
      <c r="O15" s="19">
        <v>100000</v>
      </c>
      <c r="P15" s="20"/>
      <c r="Q15" s="21">
        <f t="shared" si="2"/>
        <v>-0.66603427037260754</v>
      </c>
      <c r="S15" s="2" t="e">
        <f>#REF!/1000000</f>
        <v>#REF!</v>
      </c>
      <c r="T15" s="2"/>
      <c r="W15" s="77">
        <f t="shared" si="4"/>
        <v>117263.28486426077</v>
      </c>
      <c r="X15" s="78">
        <f>W15/B15</f>
        <v>0.7328955304016298</v>
      </c>
    </row>
    <row r="16" spans="1:24" customFormat="1" x14ac:dyDescent="0.25">
      <c r="A16" s="23" t="s">
        <v>26</v>
      </c>
      <c r="B16" s="19">
        <v>160000</v>
      </c>
      <c r="C16" s="19">
        <f>'[3]ACR-PROJECT'!I28/1000000</f>
        <v>171655.97195813511</v>
      </c>
      <c r="D16" s="19">
        <f>+'[3]ACR-PROJECT'!J28/1000000</f>
        <v>2681.8181818100002</v>
      </c>
      <c r="E16" s="19">
        <f>C16+D16</f>
        <v>174337.79013994511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0"/>
      <c r="Q16" s="21"/>
      <c r="R16" s="22"/>
      <c r="S16" s="2"/>
      <c r="T16" s="2"/>
      <c r="W16" s="77"/>
    </row>
    <row r="17" spans="1:24" customFormat="1" x14ac:dyDescent="0.25">
      <c r="A17" s="17" t="s">
        <v>27</v>
      </c>
      <c r="B17" s="19">
        <v>26000</v>
      </c>
      <c r="C17" s="19">
        <f>'[3]ACR-S&amp;M'!I114/1000000</f>
        <v>14437.329289146866</v>
      </c>
      <c r="D17" s="19">
        <f>+'[3]ACR-S&amp;M'!J114/1000000</f>
        <v>2289.8527562700001</v>
      </c>
      <c r="E17" s="19">
        <f>C17+D17</f>
        <v>16727.182045416866</v>
      </c>
      <c r="F17" s="19">
        <f>'[3]ACR-S&amp;M'!L114/1000000</f>
        <v>2528.4398156699999</v>
      </c>
      <c r="G17" s="19">
        <f>'[3]ACR-S&amp;M'!M114/1000000</f>
        <v>13634.891729746867</v>
      </c>
      <c r="H17" s="19">
        <v>10068</v>
      </c>
      <c r="I17" s="19">
        <v>29310.10942053</v>
      </c>
      <c r="J17" s="19">
        <f t="shared" si="0"/>
        <v>-12582.927375113133</v>
      </c>
      <c r="K17" s="19"/>
      <c r="L17" s="19">
        <f t="shared" si="1"/>
        <v>-12582.927375113133</v>
      </c>
      <c r="M17" s="19"/>
      <c r="N17" s="19">
        <f t="shared" si="5"/>
        <v>-12582.927375113133</v>
      </c>
      <c r="O17" s="19">
        <v>27000</v>
      </c>
      <c r="P17" s="20"/>
      <c r="Q17" s="21">
        <f t="shared" si="2"/>
        <v>-0.46603434722641235</v>
      </c>
      <c r="S17" s="2">
        <f>'[3]ACR-S&amp;M'!R114/1000000</f>
        <v>0</v>
      </c>
      <c r="T17" s="2"/>
      <c r="W17" s="76">
        <f t="shared" si="4"/>
        <v>9272.8179545831335</v>
      </c>
      <c r="X17" s="21">
        <f>W17/B17</f>
        <v>0.35664684440704358</v>
      </c>
    </row>
    <row r="18" spans="1:24" customFormat="1" x14ac:dyDescent="0.25">
      <c r="A18" s="23" t="s">
        <v>28</v>
      </c>
      <c r="B18" s="19">
        <v>32000</v>
      </c>
      <c r="C18" s="19">
        <f>'[3]ACR-SOM'!I24/1000000</f>
        <v>26356.787774226665</v>
      </c>
      <c r="D18" s="19">
        <f>+'[3]ACR-SOM'!J24/1000000</f>
        <v>7749.3607199999997</v>
      </c>
      <c r="E18" s="19">
        <f>C18+D18</f>
        <v>34106.148494226662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0"/>
      <c r="Q18" s="21"/>
      <c r="R18" s="22">
        <f>R247</f>
        <v>200</v>
      </c>
      <c r="S18" s="2">
        <f>'[3]ACR-SOM'!R24/1000000</f>
        <v>0</v>
      </c>
      <c r="T18" s="2">
        <f>SUM(D15:D18)+R18</f>
        <v>24528.031658080003</v>
      </c>
      <c r="W18" s="77"/>
    </row>
    <row r="19" spans="1:24" customFormat="1" x14ac:dyDescent="0.25">
      <c r="A19" s="17"/>
      <c r="B19" s="19"/>
      <c r="C19" s="19"/>
      <c r="D19" s="19"/>
      <c r="E19" s="19"/>
      <c r="F19" s="19"/>
      <c r="G19" s="19"/>
      <c r="H19" s="19"/>
      <c r="I19" s="19">
        <f>F19+H19</f>
        <v>0</v>
      </c>
      <c r="J19" s="19">
        <f t="shared" si="0"/>
        <v>0</v>
      </c>
      <c r="K19" s="19"/>
      <c r="L19" s="19"/>
      <c r="M19" s="19"/>
      <c r="N19" s="19"/>
      <c r="O19" s="19"/>
      <c r="P19" s="20">
        <f>SUM(D15:D18)</f>
        <v>24328.031658080003</v>
      </c>
      <c r="Q19" s="21"/>
      <c r="S19" s="2"/>
      <c r="T19" s="2"/>
      <c r="W19" s="76"/>
    </row>
    <row r="20" spans="1:24" customFormat="1" x14ac:dyDescent="0.25">
      <c r="A20" s="17" t="s">
        <v>29</v>
      </c>
      <c r="B20" s="19">
        <v>60000</v>
      </c>
      <c r="C20" s="19">
        <f>'[3]DCNP-TRD'!I22/1000000</f>
        <v>11169.166853999999</v>
      </c>
      <c r="D20" s="19">
        <f>+'[3]DCNP-TRD'!J22/1000000</f>
        <v>1432.18750028</v>
      </c>
      <c r="E20" s="19">
        <f>C20+D20</f>
        <v>12601.35435428</v>
      </c>
      <c r="F20" s="19">
        <f>'[3]DCNP-TRD'!L22/1000000</f>
        <v>9289.9804014000001</v>
      </c>
      <c r="G20" s="19">
        <f>'[3]DCNP-TRD'!M22/1000000</f>
        <v>2805.3739528800002</v>
      </c>
      <c r="H20" s="19">
        <f>'[3]DCNP-TRD'!N22/1000000</f>
        <v>4085.5134696</v>
      </c>
      <c r="I20" s="19">
        <v>46862.686801000003</v>
      </c>
      <c r="J20" s="19">
        <f t="shared" si="0"/>
        <v>-34261.33244672</v>
      </c>
      <c r="K20" s="19"/>
      <c r="L20" s="19">
        <f t="shared" si="1"/>
        <v>-34261.33244672</v>
      </c>
      <c r="M20" s="19" t="e">
        <f>#REF!</f>
        <v>#REF!</v>
      </c>
      <c r="N20" s="19" t="e">
        <f t="shared" si="5"/>
        <v>#REF!</v>
      </c>
      <c r="O20" s="19">
        <v>50000</v>
      </c>
      <c r="P20" s="20"/>
      <c r="Q20" s="21">
        <f t="shared" si="2"/>
        <v>-0.6852266489344</v>
      </c>
      <c r="S20" s="2"/>
      <c r="T20" s="2"/>
      <c r="U20" s="2"/>
      <c r="V20" s="22"/>
      <c r="W20" s="77">
        <f t="shared" si="4"/>
        <v>47398.645645719997</v>
      </c>
      <c r="X20" s="78">
        <f t="shared" ref="X20:X21" si="6">W20/B20</f>
        <v>0.78997742742866661</v>
      </c>
    </row>
    <row r="21" spans="1:24" customFormat="1" x14ac:dyDescent="0.25">
      <c r="A21" s="17" t="s">
        <v>30</v>
      </c>
      <c r="B21" s="19">
        <v>30000</v>
      </c>
      <c r="C21" s="19">
        <f>'[3]DCNP-S&amp;M'!I118/1000000</f>
        <v>19768.5952441224</v>
      </c>
      <c r="D21" s="19">
        <f>+'[3]DCNP-S&amp;M'!J118/1000000</f>
        <v>2514.623239</v>
      </c>
      <c r="E21" s="19">
        <f>C21+D21</f>
        <v>22283.2184831224</v>
      </c>
      <c r="F21" s="19">
        <f>'[3]DCNP-S&amp;M'!L118/1000000</f>
        <v>294.41709526</v>
      </c>
      <c r="G21" s="19">
        <f>'[3]DCNP-S&amp;M'!M118/1000000</f>
        <v>16035.366273862399</v>
      </c>
      <c r="H21" s="19">
        <v>5179</v>
      </c>
      <c r="I21" s="19">
        <v>17393.477352999998</v>
      </c>
      <c r="J21" s="19">
        <f t="shared" si="0"/>
        <v>4889.741130122402</v>
      </c>
      <c r="K21" s="19"/>
      <c r="L21" s="19">
        <f t="shared" si="1"/>
        <v>4889.741130122402</v>
      </c>
      <c r="M21" s="19"/>
      <c r="N21" s="19">
        <f t="shared" si="5"/>
        <v>4889.741130122402</v>
      </c>
      <c r="O21" s="19">
        <v>20000</v>
      </c>
      <c r="P21" s="20"/>
      <c r="Q21" s="21">
        <f t="shared" si="2"/>
        <v>0.2444870565061201</v>
      </c>
      <c r="R21" s="22">
        <f>R280</f>
        <v>0</v>
      </c>
      <c r="S21" s="2">
        <f>'[3]DCNP-S&amp;M'!R118/1000000</f>
        <v>0</v>
      </c>
      <c r="T21" s="2">
        <f>SUM(D20:D21)+R21</f>
        <v>3946.8107392800002</v>
      </c>
      <c r="W21" s="76">
        <f t="shared" si="4"/>
        <v>7716.7815168775996</v>
      </c>
      <c r="X21" s="21">
        <f t="shared" si="6"/>
        <v>0.25722605056258663</v>
      </c>
    </row>
    <row r="22" spans="1:24" customFormat="1" x14ac:dyDescent="0.25">
      <c r="A22" s="17"/>
      <c r="B22" s="19"/>
      <c r="C22" s="19"/>
      <c r="D22" s="19"/>
      <c r="E22" s="19"/>
      <c r="F22" s="19"/>
      <c r="G22" s="19"/>
      <c r="H22" s="19"/>
      <c r="I22" s="19">
        <f>F22+H22</f>
        <v>0</v>
      </c>
      <c r="J22" s="19">
        <f t="shared" si="0"/>
        <v>0</v>
      </c>
      <c r="K22" s="19"/>
      <c r="L22" s="19"/>
      <c r="M22" s="19"/>
      <c r="N22" s="19"/>
      <c r="O22" s="19"/>
      <c r="P22" s="20">
        <f>SUM(D20:D21)</f>
        <v>3946.8107392800002</v>
      </c>
      <c r="Q22" s="21"/>
      <c r="S22" s="2"/>
      <c r="T22" s="2"/>
      <c r="W22" s="76"/>
    </row>
    <row r="23" spans="1:24" customFormat="1" x14ac:dyDescent="0.25">
      <c r="A23" s="17" t="s">
        <v>31</v>
      </c>
      <c r="B23" s="19">
        <v>80000</v>
      </c>
      <c r="C23" s="19">
        <f>'[3]FSC-TRD'!I41/1000000</f>
        <v>38453.012204350045</v>
      </c>
      <c r="D23" s="19">
        <f>+'[3]FSC-TRD'!J41/1000000</f>
        <v>312.06892499999998</v>
      </c>
      <c r="E23" s="19">
        <f>C23+D23</f>
        <v>38765.081129350045</v>
      </c>
      <c r="F23" s="19">
        <f>'[3]FSC-TRD'!L41/1000000</f>
        <v>4696.9771922879609</v>
      </c>
      <c r="G23" s="19">
        <f>'[3]FSC-TRD'!M41/1000000</f>
        <v>28221.710181483948</v>
      </c>
      <c r="H23" s="19">
        <f>'[3]FSC-TRD'!N41/1000000</f>
        <v>550.01453516472009</v>
      </c>
      <c r="I23" s="19">
        <v>62028.5974305708</v>
      </c>
      <c r="J23" s="19">
        <f t="shared" si="0"/>
        <v>-23263.516301220756</v>
      </c>
      <c r="K23" s="19">
        <v>6000</v>
      </c>
      <c r="L23" s="19">
        <f t="shared" si="1"/>
        <v>-17263.516301220756</v>
      </c>
      <c r="M23" s="19" t="e">
        <f>#REF!</f>
        <v>#REF!</v>
      </c>
      <c r="N23" s="19" t="e">
        <f t="shared" si="5"/>
        <v>#REF!</v>
      </c>
      <c r="O23" s="19">
        <v>80000</v>
      </c>
      <c r="P23" s="20"/>
      <c r="Q23" s="21">
        <f t="shared" si="2"/>
        <v>-0.29079395376525946</v>
      </c>
      <c r="S23" s="2"/>
      <c r="T23" s="2"/>
      <c r="W23" s="77">
        <f t="shared" si="4"/>
        <v>41234.918870649955</v>
      </c>
      <c r="X23" s="78">
        <f t="shared" ref="X23:X25" si="7">W23/B23</f>
        <v>0.51543648588312441</v>
      </c>
    </row>
    <row r="24" spans="1:24" customFormat="1" x14ac:dyDescent="0.25">
      <c r="A24" s="17" t="s">
        <v>32</v>
      </c>
      <c r="B24" s="19">
        <v>45000</v>
      </c>
      <c r="C24" s="19">
        <f>'[3]FSC-S&amp;M'!I323/1000000</f>
        <v>17616.137697071517</v>
      </c>
      <c r="D24" s="19">
        <f>+'[3]FSC-S&amp;M'!J323/1000000</f>
        <v>1430.2348099999999</v>
      </c>
      <c r="E24" s="19">
        <f>C24+D24</f>
        <v>19046.372507071515</v>
      </c>
      <c r="F24" s="19" t="e">
        <f>'[3]FSC-S&amp;M'!L323/1000000</f>
        <v>#N/A</v>
      </c>
      <c r="G24" s="19" t="e">
        <f>'[3]FSC-S&amp;M'!M323/1000000</f>
        <v>#N/A</v>
      </c>
      <c r="H24" s="19">
        <v>4355</v>
      </c>
      <c r="I24" s="19">
        <v>17005.4798120081</v>
      </c>
      <c r="J24" s="19">
        <f t="shared" si="0"/>
        <v>2040.8926950634159</v>
      </c>
      <c r="K24" s="19"/>
      <c r="L24" s="19">
        <f t="shared" si="1"/>
        <v>2040.8926950634159</v>
      </c>
      <c r="M24" s="19"/>
      <c r="N24" s="19">
        <f t="shared" si="5"/>
        <v>2040.8926950634159</v>
      </c>
      <c r="O24" s="19">
        <v>16000</v>
      </c>
      <c r="P24" s="20"/>
      <c r="Q24" s="21">
        <f t="shared" si="2"/>
        <v>0.12755579344146351</v>
      </c>
      <c r="R24" s="22">
        <f>R191</f>
        <v>52380</v>
      </c>
      <c r="S24" s="2"/>
      <c r="T24" s="2">
        <f>SUM(D23:D24)+R24</f>
        <v>54122.303735000001</v>
      </c>
      <c r="W24" s="77">
        <f t="shared" si="4"/>
        <v>25953.627492928485</v>
      </c>
      <c r="X24" s="78">
        <f t="shared" si="7"/>
        <v>0.57674727762063294</v>
      </c>
    </row>
    <row r="25" spans="1:24" customFormat="1" x14ac:dyDescent="0.25">
      <c r="A25" s="17" t="s">
        <v>33</v>
      </c>
      <c r="B25" s="19">
        <v>40000</v>
      </c>
      <c r="C25" s="19">
        <f>'[3]FSC-MEK'!I12/1000000</f>
        <v>12985.258212818027</v>
      </c>
      <c r="D25" s="19">
        <f>+'[3]FSC-MEK'!J12/1000000</f>
        <v>0</v>
      </c>
      <c r="E25" s="19">
        <f>'[3]FSC-MEK'!K12/1000000</f>
        <v>12985.258212818027</v>
      </c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20"/>
      <c r="Q25" s="21"/>
      <c r="R25" s="22"/>
      <c r="S25" s="2"/>
      <c r="T25" s="2"/>
      <c r="W25" s="77">
        <f t="shared" si="4"/>
        <v>27014.741787181971</v>
      </c>
      <c r="X25" s="78">
        <f t="shared" si="7"/>
        <v>0.67536854467954932</v>
      </c>
    </row>
    <row r="26" spans="1:24" customFormat="1" x14ac:dyDescent="0.25">
      <c r="A26" s="17"/>
      <c r="B26" s="19"/>
      <c r="C26" s="19"/>
      <c r="D26" s="19"/>
      <c r="E26" s="19"/>
      <c r="F26" s="19"/>
      <c r="G26" s="19"/>
      <c r="H26" s="19"/>
      <c r="I26" s="19">
        <f>F26+H26</f>
        <v>0</v>
      </c>
      <c r="J26" s="19">
        <f>E26-I26</f>
        <v>0</v>
      </c>
      <c r="K26" s="19"/>
      <c r="L26" s="19"/>
      <c r="M26" s="19"/>
      <c r="N26" s="19"/>
      <c r="O26" s="19"/>
      <c r="P26" s="20">
        <f>SUM(D23:D25)</f>
        <v>1742.303735</v>
      </c>
      <c r="Q26" s="21"/>
      <c r="S26" s="2"/>
      <c r="T26" s="2"/>
      <c r="W26" s="76"/>
    </row>
    <row r="27" spans="1:24" customFormat="1" x14ac:dyDescent="0.25">
      <c r="A27" s="17" t="s">
        <v>34</v>
      </c>
      <c r="B27" s="19">
        <v>40000</v>
      </c>
      <c r="C27" s="19">
        <f>'[3]ICT-TRD'!I14/1000000</f>
        <v>6308</v>
      </c>
      <c r="D27" s="19">
        <f>'[3]ICT-TRD'!J14/1000000</f>
        <v>0</v>
      </c>
      <c r="E27" s="19">
        <f>C27+D27</f>
        <v>6308</v>
      </c>
      <c r="F27" s="19">
        <f>'[3]ICT-TRD'!L14/1000000</f>
        <v>898.08343783999999</v>
      </c>
      <c r="G27" s="19">
        <f>'[3]ICT-TRD'!M14/1000000</f>
        <v>5409.9165621599996</v>
      </c>
      <c r="H27" s="19">
        <f>'[3]ICT-TRD'!N14/1000000</f>
        <v>282.21666800000003</v>
      </c>
      <c r="I27" s="19">
        <v>57895.694069689998</v>
      </c>
      <c r="J27" s="19">
        <f t="shared" si="0"/>
        <v>-51587.694069689998</v>
      </c>
      <c r="K27" s="19">
        <v>52150</v>
      </c>
      <c r="L27" s="19">
        <f t="shared" si="1"/>
        <v>562.30593031000171</v>
      </c>
      <c r="M27" s="19" t="e">
        <f>#REF!</f>
        <v>#REF!</v>
      </c>
      <c r="N27" s="19" t="e">
        <f t="shared" si="5"/>
        <v>#REF!</v>
      </c>
      <c r="O27" s="19">
        <v>180000</v>
      </c>
      <c r="P27" s="20"/>
      <c r="Q27" s="21">
        <f t="shared" si="2"/>
        <v>-0.28659830038716666</v>
      </c>
      <c r="S27" s="2">
        <f>'[3]ICT-TRD'!R14/1000000</f>
        <v>0</v>
      </c>
      <c r="T27" s="2"/>
      <c r="W27" s="77">
        <f t="shared" si="4"/>
        <v>33692</v>
      </c>
      <c r="X27" s="78">
        <f t="shared" ref="X27:X29" si="8">W27/B27</f>
        <v>0.84230000000000005</v>
      </c>
    </row>
    <row r="28" spans="1:24" customFormat="1" x14ac:dyDescent="0.25">
      <c r="A28" s="23" t="s">
        <v>143</v>
      </c>
      <c r="B28" s="19">
        <v>220000</v>
      </c>
      <c r="C28" s="19">
        <f>'[3]ICT TRANSPORTASI'!I28/1000000</f>
        <v>156148.78766151998</v>
      </c>
      <c r="D28" s="19">
        <f>'[3]ICT TRANSPORTASI'!J28/1000000</f>
        <v>11580.033345</v>
      </c>
      <c r="E28" s="19">
        <f t="shared" ref="E28:E31" si="9">C28+D28</f>
        <v>167728.82100651998</v>
      </c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20"/>
      <c r="Q28" s="21"/>
      <c r="S28" s="2"/>
      <c r="T28" s="2"/>
      <c r="W28" s="76">
        <f t="shared" si="4"/>
        <v>52271.178993480018</v>
      </c>
      <c r="X28" s="21">
        <f t="shared" si="8"/>
        <v>0.23759626815218191</v>
      </c>
    </row>
    <row r="29" spans="1:24" customFormat="1" x14ac:dyDescent="0.25">
      <c r="A29" s="23" t="s">
        <v>144</v>
      </c>
      <c r="B29" s="19">
        <f>30000000000/1000000</f>
        <v>30000</v>
      </c>
      <c r="C29" s="19">
        <f>'[3]ICT SERVICE'!I38/1000000</f>
        <v>10097.853871825835</v>
      </c>
      <c r="D29" s="19">
        <f>'[3]ICT SERVICE'!J38/1000000</f>
        <v>367.76451100000003</v>
      </c>
      <c r="E29" s="19">
        <f t="shared" si="9"/>
        <v>10465.618382825834</v>
      </c>
      <c r="F29" s="19">
        <f>'[3]ICT SERVICE'!L38/1000000</f>
        <v>642.37232440000002</v>
      </c>
      <c r="G29" s="19">
        <f>'[3]ICT SERVICE'!M38/1000000</f>
        <v>9823.2460584258351</v>
      </c>
      <c r="H29" s="19">
        <v>1273</v>
      </c>
      <c r="I29" s="19">
        <v>4759.747538261111</v>
      </c>
      <c r="J29" s="19">
        <f t="shared" si="0"/>
        <v>5705.8708445647235</v>
      </c>
      <c r="K29" s="19"/>
      <c r="L29" s="19">
        <f t="shared" si="1"/>
        <v>5705.8708445647235</v>
      </c>
      <c r="M29" s="19"/>
      <c r="N29" s="19">
        <f t="shared" si="5"/>
        <v>5705.8708445647235</v>
      </c>
      <c r="O29" s="19">
        <v>6000</v>
      </c>
      <c r="P29" s="20"/>
      <c r="Q29" s="21">
        <f t="shared" si="2"/>
        <v>0.95097847409412062</v>
      </c>
      <c r="S29" s="2">
        <f>'[3]ICT SERVICE'!R38/1000000</f>
        <v>-103.317511</v>
      </c>
      <c r="T29" s="2"/>
      <c r="W29" s="77">
        <f t="shared" si="4"/>
        <v>19534.381617174164</v>
      </c>
      <c r="X29" s="78">
        <f t="shared" si="8"/>
        <v>0.65114605390580549</v>
      </c>
    </row>
    <row r="30" spans="1:24" customFormat="1" x14ac:dyDescent="0.25">
      <c r="A30" s="23" t="s">
        <v>145</v>
      </c>
      <c r="B30" s="19">
        <f>17000000000/1000000</f>
        <v>17000</v>
      </c>
      <c r="C30" s="19">
        <f>'[3]ICT SERV TRANS'!I21/1000000</f>
        <v>32717.344823645002</v>
      </c>
      <c r="D30" s="19">
        <f>'[3]ICT SERV TRANS'!J21/1000000</f>
        <v>0</v>
      </c>
      <c r="E30" s="19">
        <f t="shared" si="9"/>
        <v>32717.344823645002</v>
      </c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20"/>
      <c r="Q30" s="21"/>
      <c r="S30" s="2"/>
      <c r="T30" s="2"/>
      <c r="W30" s="76"/>
    </row>
    <row r="31" spans="1:24" customFormat="1" x14ac:dyDescent="0.25">
      <c r="A31" s="17" t="s">
        <v>36</v>
      </c>
      <c r="B31" s="19">
        <v>0</v>
      </c>
      <c r="C31" s="19">
        <f>'[3]ICT - SOM'!I10/1000000</f>
        <v>131.76351759999991</v>
      </c>
      <c r="D31" s="19">
        <f>'[3]ICT - SOM'!J10/1000000</f>
        <v>0</v>
      </c>
      <c r="E31" s="19">
        <f t="shared" si="9"/>
        <v>131.76351759999991</v>
      </c>
      <c r="F31" s="19"/>
      <c r="G31" s="19"/>
      <c r="H31" s="19">
        <v>1000</v>
      </c>
      <c r="I31" s="19">
        <v>37.123618</v>
      </c>
      <c r="J31" s="19"/>
      <c r="K31" s="19"/>
      <c r="L31" s="19">
        <f t="shared" si="1"/>
        <v>0</v>
      </c>
      <c r="M31" s="19">
        <f>F31+L31</f>
        <v>0</v>
      </c>
      <c r="N31" s="19">
        <f>G31+M31</f>
        <v>0</v>
      </c>
      <c r="O31" s="19">
        <v>1000</v>
      </c>
      <c r="P31" s="20"/>
      <c r="Q31" s="21">
        <f t="shared" si="2"/>
        <v>0</v>
      </c>
      <c r="R31" s="22">
        <f>R129</f>
        <v>46135</v>
      </c>
      <c r="S31" s="2"/>
      <c r="T31" s="2">
        <f>SUM(D27:D31)+R31</f>
        <v>58082.797855999997</v>
      </c>
      <c r="W31" s="76"/>
    </row>
    <row r="32" spans="1:24" customFormat="1" x14ac:dyDescent="0.25">
      <c r="A32" s="1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20">
        <f>SUM(D27:D31)</f>
        <v>11947.797855999999</v>
      </c>
      <c r="Q32" s="21"/>
      <c r="S32" s="2"/>
      <c r="T32" s="2"/>
      <c r="W32" s="76"/>
    </row>
    <row r="33" spans="1:24" customFormat="1" x14ac:dyDescent="0.25">
      <c r="A33" s="23" t="s">
        <v>37</v>
      </c>
      <c r="B33" s="19">
        <v>20000</v>
      </c>
      <c r="C33" s="19">
        <f>[3]Lift!I14/1000000</f>
        <v>1771.11879933</v>
      </c>
      <c r="D33" s="19">
        <f>[3]Lift!J14/1000000</f>
        <v>13.455</v>
      </c>
      <c r="E33" s="19">
        <f>C33+D33</f>
        <v>1784.5737993299999</v>
      </c>
      <c r="F33" s="19"/>
      <c r="G33" s="19"/>
      <c r="H33" s="19"/>
      <c r="I33" s="19"/>
      <c r="J33" s="19"/>
      <c r="K33" s="19"/>
      <c r="L33" s="19"/>
      <c r="M33" s="19" t="e">
        <f>#REF!</f>
        <v>#REF!</v>
      </c>
      <c r="N33" s="19" t="e">
        <f>G33+M33</f>
        <v>#REF!</v>
      </c>
      <c r="O33" s="19">
        <v>30000</v>
      </c>
      <c r="P33" s="20"/>
      <c r="Q33" s="21">
        <f t="shared" si="2"/>
        <v>0</v>
      </c>
      <c r="R33" s="22">
        <f>R316</f>
        <v>2050</v>
      </c>
      <c r="S33" s="2"/>
      <c r="T33" s="2">
        <f>D33+R33</f>
        <v>2063.4549999999999</v>
      </c>
      <c r="W33" s="77">
        <f t="shared" si="4"/>
        <v>18215.426200670001</v>
      </c>
      <c r="X33" s="78">
        <f t="shared" ref="X33" si="10">W33/B33</f>
        <v>0.91077131003350009</v>
      </c>
    </row>
    <row r="34" spans="1:24" customFormat="1" x14ac:dyDescent="0.25">
      <c r="A34" s="23" t="s">
        <v>146</v>
      </c>
      <c r="B34" s="19"/>
      <c r="C34" s="19">
        <f>'[3]Lift Service'!I10/1000000</f>
        <v>0</v>
      </c>
      <c r="D34" s="19">
        <f>'[3]Lift Service'!J10/1000000</f>
        <v>294.95</v>
      </c>
      <c r="E34" s="19">
        <f>C34+D34</f>
        <v>294.95</v>
      </c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20"/>
      <c r="Q34" s="21"/>
      <c r="R34" s="22"/>
      <c r="S34" s="2"/>
      <c r="T34" s="2"/>
      <c r="W34" s="76"/>
    </row>
    <row r="35" spans="1:24" customFormat="1" x14ac:dyDescent="0.25">
      <c r="A35" s="17"/>
      <c r="B35" s="19"/>
      <c r="C35" s="19"/>
      <c r="D35" s="19"/>
      <c r="E35" s="19"/>
      <c r="F35" s="19"/>
      <c r="G35" s="19"/>
      <c r="H35" s="19"/>
      <c r="I35" s="19"/>
      <c r="J35" s="17"/>
      <c r="K35" s="19"/>
      <c r="L35" s="19"/>
      <c r="M35" s="19"/>
      <c r="N35" s="19"/>
      <c r="O35" s="19"/>
      <c r="P35" s="20">
        <f>SUM(D33:D34)</f>
        <v>308.40499999999997</v>
      </c>
      <c r="S35" s="2"/>
      <c r="T35" s="2"/>
      <c r="W35" s="76">
        <f t="shared" si="4"/>
        <v>0</v>
      </c>
    </row>
    <row r="36" spans="1:24" customFormat="1" ht="13" x14ac:dyDescent="0.3">
      <c r="A36" s="7" t="s">
        <v>12</v>
      </c>
      <c r="B36" s="24">
        <f t="shared" ref="B36:P36" si="11">SUM(B9:B35)</f>
        <v>1200000</v>
      </c>
      <c r="C36" s="24">
        <f t="shared" si="11"/>
        <v>677025.76781490748</v>
      </c>
      <c r="D36" s="24">
        <f t="shared" si="11"/>
        <v>43073.348988359998</v>
      </c>
      <c r="E36" s="24">
        <f t="shared" si="11"/>
        <v>720099.11680326762</v>
      </c>
      <c r="F36" s="24" t="e">
        <f t="shared" si="11"/>
        <v>#REF!</v>
      </c>
      <c r="G36" s="24" t="e">
        <f t="shared" si="11"/>
        <v>#REF!</v>
      </c>
      <c r="H36" s="24" t="e">
        <f t="shared" si="11"/>
        <v>#REF!</v>
      </c>
      <c r="I36" s="24">
        <f t="shared" si="11"/>
        <v>527253.48459832813</v>
      </c>
      <c r="J36" s="24">
        <f t="shared" si="11"/>
        <v>-231203.89417114537</v>
      </c>
      <c r="K36" s="24">
        <f t="shared" si="11"/>
        <v>63050</v>
      </c>
      <c r="L36" s="24">
        <f t="shared" si="11"/>
        <v>-168153.89417114537</v>
      </c>
      <c r="M36" s="24" t="e">
        <f t="shared" si="11"/>
        <v>#REF!</v>
      </c>
      <c r="N36" s="24" t="e">
        <f t="shared" si="11"/>
        <v>#REF!</v>
      </c>
      <c r="O36" s="24">
        <f t="shared" si="11"/>
        <v>670000</v>
      </c>
      <c r="P36" s="24">
        <f t="shared" si="11"/>
        <v>43073.348988360005</v>
      </c>
      <c r="Q36" s="25">
        <f t="shared" si="2"/>
        <v>-0.345080439061411</v>
      </c>
      <c r="R36" s="24">
        <f>SUM(R9:R35)</f>
        <v>149265</v>
      </c>
      <c r="S36" s="26" t="e">
        <f>SUM(S9:S35)</f>
        <v>#REF!</v>
      </c>
      <c r="T36" s="24">
        <f>SUM(T9:T35)</f>
        <v>192043.39898835999</v>
      </c>
      <c r="W36" s="24">
        <f t="shared" ref="W36" si="12">SUM(W9:W35)</f>
        <v>512488.8801721491</v>
      </c>
      <c r="X36" s="21">
        <f t="shared" ref="X36" si="13">W36/B36</f>
        <v>0.42707406681012428</v>
      </c>
    </row>
    <row r="37" spans="1:24" customFormat="1" ht="13" x14ac:dyDescent="0.3">
      <c r="A37" s="27"/>
      <c r="B37" s="27"/>
      <c r="C37" s="28">
        <f>C36/B36</f>
        <v>0.56418813984575622</v>
      </c>
      <c r="D37" s="27"/>
      <c r="E37" s="28">
        <f>E36/B36</f>
        <v>0.6000825973360564</v>
      </c>
      <c r="F37" s="28"/>
      <c r="G37" s="28"/>
      <c r="H37" s="28"/>
      <c r="I37" s="28"/>
      <c r="J37" s="27"/>
      <c r="K37" s="28"/>
      <c r="L37" s="28">
        <f>L36/O36</f>
        <v>-0.25097596144947071</v>
      </c>
      <c r="M37" s="28"/>
      <c r="N37" s="28" t="e">
        <f>N36/O36</f>
        <v>#REF!</v>
      </c>
      <c r="O37" s="27"/>
      <c r="P37" s="18"/>
      <c r="S37" s="2"/>
      <c r="T37" s="2"/>
    </row>
    <row r="38" spans="1:24" customFormat="1" ht="13" hidden="1" x14ac:dyDescent="0.3">
      <c r="E38" s="25" t="e">
        <f>E36/#REF!</f>
        <v>#REF!</v>
      </c>
      <c r="F38" s="25"/>
      <c r="G38" s="25"/>
      <c r="H38" s="25"/>
      <c r="I38" s="25"/>
      <c r="K38" s="25" t="e">
        <f>K36/#REF!</f>
        <v>#REF!</v>
      </c>
      <c r="L38" s="25" t="e">
        <f>L36/#REF!</f>
        <v>#REF!</v>
      </c>
      <c r="S38" s="2"/>
      <c r="T38" s="2"/>
    </row>
    <row r="39" spans="1:24" ht="13" x14ac:dyDescent="0.3">
      <c r="C39" s="29"/>
      <c r="D39" s="29"/>
      <c r="E39" s="29"/>
      <c r="F39" s="29"/>
      <c r="G39" s="29"/>
      <c r="H39" s="29"/>
      <c r="I39" s="29"/>
      <c r="J39" s="29"/>
      <c r="K39" s="29"/>
      <c r="L39" s="29"/>
      <c r="P39" s="29">
        <f>R39+P318</f>
        <v>1302508.9168032676</v>
      </c>
      <c r="R39" s="30">
        <f>E36+R36</f>
        <v>869364.11680326762</v>
      </c>
    </row>
    <row r="40" spans="1:24" customFormat="1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3">
        <f>(L36-B36)/600000</f>
        <v>-2.2802564902852422</v>
      </c>
      <c r="R40" s="79">
        <f>R39/B36</f>
        <v>0.72447009733605638</v>
      </c>
      <c r="S40" s="2"/>
      <c r="T40" s="2"/>
    </row>
    <row r="41" spans="1:24" s="32" customFormat="1" x14ac:dyDescent="0.25">
      <c r="A41" s="32" t="s">
        <v>38</v>
      </c>
      <c r="S41" s="34"/>
      <c r="T41" s="34"/>
    </row>
    <row r="42" spans="1:24" customFormat="1" ht="13" x14ac:dyDescent="0.3">
      <c r="B42" s="35" t="s">
        <v>39</v>
      </c>
      <c r="C42" s="35" t="s">
        <v>40</v>
      </c>
      <c r="D42" s="35" t="s">
        <v>41</v>
      </c>
      <c r="E42" s="35" t="s">
        <v>42</v>
      </c>
      <c r="F42" s="35"/>
      <c r="G42" s="35"/>
      <c r="H42" s="35"/>
      <c r="I42" s="35"/>
      <c r="J42" s="32"/>
      <c r="K42" s="35"/>
      <c r="L42" s="35"/>
      <c r="S42" s="2"/>
      <c r="T42" s="2"/>
    </row>
    <row r="43" spans="1:24" customFormat="1" ht="13" x14ac:dyDescent="0.3">
      <c r="B43" s="35"/>
      <c r="C43" s="35"/>
      <c r="D43" s="35"/>
      <c r="E43" s="35"/>
      <c r="F43" s="35"/>
      <c r="G43" s="35"/>
      <c r="H43" s="35"/>
      <c r="I43" s="35"/>
      <c r="J43" s="32"/>
      <c r="K43" s="35"/>
      <c r="L43" s="35"/>
      <c r="S43" s="2"/>
      <c r="T43" s="2"/>
    </row>
    <row r="44" spans="1:24" s="40" customFormat="1" ht="13" x14ac:dyDescent="0.25">
      <c r="A44" s="36" t="s">
        <v>43</v>
      </c>
      <c r="B44" s="37"/>
      <c r="C44" s="37"/>
      <c r="D44" s="38"/>
      <c r="E44" s="39"/>
      <c r="F44" s="41"/>
      <c r="G44" s="41"/>
      <c r="Q44" s="80"/>
      <c r="R44" s="41"/>
    </row>
    <row r="45" spans="1:24" s="40" customFormat="1" ht="13" x14ac:dyDescent="0.25">
      <c r="A45" s="36" t="s">
        <v>147</v>
      </c>
      <c r="B45" s="37"/>
      <c r="C45" s="37"/>
      <c r="D45" s="38"/>
      <c r="E45" s="39"/>
      <c r="F45" s="41"/>
      <c r="G45" s="41"/>
      <c r="Q45" s="80"/>
      <c r="R45" s="41"/>
    </row>
    <row r="46" spans="1:24" s="46" customFormat="1" x14ac:dyDescent="0.25">
      <c r="A46" s="45" t="s">
        <v>50</v>
      </c>
      <c r="B46" s="47"/>
      <c r="C46" s="47"/>
      <c r="D46" s="47"/>
      <c r="E46" s="48"/>
      <c r="F46" s="50"/>
      <c r="G46" s="50"/>
      <c r="Q46" s="81"/>
      <c r="R46" s="50"/>
    </row>
    <row r="47" spans="1:24" s="40" customFormat="1" x14ac:dyDescent="0.25">
      <c r="A47" s="42" t="s">
        <v>51</v>
      </c>
      <c r="B47" s="43">
        <v>30000</v>
      </c>
      <c r="C47" s="43"/>
      <c r="D47" s="43"/>
      <c r="E47" s="44"/>
      <c r="F47" s="41"/>
      <c r="G47" s="41"/>
      <c r="Q47" s="80"/>
      <c r="R47" s="41">
        <v>1000</v>
      </c>
    </row>
    <row r="48" spans="1:24" s="61" customFormat="1" ht="25" x14ac:dyDescent="0.25">
      <c r="A48" s="42" t="s">
        <v>148</v>
      </c>
      <c r="B48" s="43">
        <v>18000</v>
      </c>
      <c r="C48" s="43"/>
      <c r="D48" s="43"/>
      <c r="E48" s="44"/>
      <c r="F48" s="62"/>
      <c r="G48" s="62"/>
      <c r="Q48" s="82"/>
      <c r="R48" s="62"/>
    </row>
    <row r="49" spans="1:18" s="61" customFormat="1" x14ac:dyDescent="0.25">
      <c r="A49" s="42" t="s">
        <v>149</v>
      </c>
      <c r="B49" s="43">
        <v>50000</v>
      </c>
      <c r="C49" s="43"/>
      <c r="D49" s="43"/>
      <c r="E49" s="44"/>
      <c r="F49" s="62"/>
      <c r="G49" s="62"/>
      <c r="Q49" s="82"/>
      <c r="R49" s="62"/>
    </row>
    <row r="50" spans="1:18" s="61" customFormat="1" x14ac:dyDescent="0.25">
      <c r="A50" s="42" t="s">
        <v>150</v>
      </c>
      <c r="B50" s="43">
        <v>1000</v>
      </c>
      <c r="C50" s="43"/>
      <c r="D50" s="43"/>
      <c r="E50" s="44"/>
      <c r="F50" s="62"/>
      <c r="G50" s="62"/>
      <c r="Q50" s="82"/>
      <c r="R50" s="62"/>
    </row>
    <row r="51" spans="1:18" s="46" customFormat="1" x14ac:dyDescent="0.25">
      <c r="A51" s="45" t="s">
        <v>151</v>
      </c>
      <c r="B51" s="47"/>
      <c r="C51" s="47"/>
      <c r="D51" s="47"/>
      <c r="E51" s="48"/>
      <c r="F51" s="50"/>
      <c r="G51" s="50"/>
      <c r="Q51" s="81"/>
      <c r="R51" s="50">
        <v>48500</v>
      </c>
    </row>
    <row r="52" spans="1:18" s="61" customFormat="1" x14ac:dyDescent="0.25">
      <c r="A52" s="42" t="s">
        <v>152</v>
      </c>
      <c r="B52" s="43">
        <v>170000</v>
      </c>
      <c r="C52" s="43"/>
      <c r="D52" s="43"/>
      <c r="E52" s="44"/>
      <c r="F52" s="62"/>
      <c r="G52" s="62"/>
      <c r="Q52" s="82"/>
      <c r="R52" s="62"/>
    </row>
    <row r="53" spans="1:18" s="61" customFormat="1" x14ac:dyDescent="0.25">
      <c r="A53" s="42" t="s">
        <v>153</v>
      </c>
      <c r="B53" s="43">
        <v>11000</v>
      </c>
      <c r="C53" s="43"/>
      <c r="D53" s="43"/>
      <c r="E53" s="44"/>
      <c r="F53" s="62"/>
      <c r="G53" s="62"/>
      <c r="Q53" s="82"/>
      <c r="R53" s="62"/>
    </row>
    <row r="54" spans="1:18" s="61" customFormat="1" x14ac:dyDescent="0.25">
      <c r="A54" s="42" t="s">
        <v>154</v>
      </c>
      <c r="B54" s="43">
        <v>20000</v>
      </c>
      <c r="C54" s="43"/>
      <c r="D54" s="43"/>
      <c r="E54" s="44"/>
      <c r="F54" s="62"/>
      <c r="G54" s="62"/>
      <c r="Q54" s="82"/>
      <c r="R54" s="62"/>
    </row>
    <row r="55" spans="1:18" s="61" customFormat="1" x14ac:dyDescent="0.25">
      <c r="A55" s="42"/>
      <c r="B55" s="43"/>
      <c r="C55" s="43"/>
      <c r="D55" s="43"/>
      <c r="E55" s="44"/>
      <c r="F55" s="62"/>
      <c r="G55" s="62"/>
      <c r="Q55" s="82"/>
      <c r="R55" s="62"/>
    </row>
    <row r="56" spans="1:18" s="61" customFormat="1" x14ac:dyDescent="0.25">
      <c r="A56" s="42"/>
      <c r="B56" s="43"/>
      <c r="C56" s="43"/>
      <c r="D56" s="43"/>
      <c r="E56" s="44"/>
      <c r="F56" s="62"/>
      <c r="G56" s="62"/>
      <c r="Q56" s="82"/>
      <c r="R56" s="62"/>
    </row>
    <row r="57" spans="1:18" s="61" customFormat="1" x14ac:dyDescent="0.25">
      <c r="A57" s="42"/>
      <c r="B57" s="43"/>
      <c r="C57" s="43"/>
      <c r="D57" s="43"/>
      <c r="E57" s="44"/>
      <c r="F57" s="62"/>
      <c r="G57" s="62"/>
      <c r="Q57" s="82"/>
      <c r="R57" s="62"/>
    </row>
    <row r="58" spans="1:18" s="61" customFormat="1" x14ac:dyDescent="0.25">
      <c r="A58" s="83" t="s">
        <v>155</v>
      </c>
      <c r="B58" s="43"/>
      <c r="C58" s="43"/>
      <c r="D58" s="43"/>
      <c r="E58" s="44"/>
      <c r="F58" s="62"/>
      <c r="G58" s="62"/>
      <c r="Q58" s="82"/>
      <c r="R58" s="62"/>
    </row>
    <row r="59" spans="1:18" s="46" customFormat="1" x14ac:dyDescent="0.25">
      <c r="A59" s="45" t="s">
        <v>156</v>
      </c>
      <c r="B59" s="47"/>
      <c r="C59" s="47"/>
      <c r="D59" s="47"/>
      <c r="E59" s="48"/>
      <c r="F59" s="50"/>
      <c r="G59" s="50"/>
      <c r="Q59" s="81"/>
      <c r="R59" s="50">
        <v>312</v>
      </c>
    </row>
    <row r="60" spans="1:18" s="46" customFormat="1" x14ac:dyDescent="0.25">
      <c r="A60" s="45" t="s">
        <v>157</v>
      </c>
      <c r="B60" s="47"/>
      <c r="C60" s="47"/>
      <c r="D60" s="47"/>
      <c r="E60" s="48"/>
      <c r="F60" s="50"/>
      <c r="G60" s="50"/>
      <c r="Q60" s="81"/>
      <c r="R60" s="50">
        <v>50</v>
      </c>
    </row>
    <row r="61" spans="1:18" s="61" customFormat="1" x14ac:dyDescent="0.25">
      <c r="A61" s="42" t="s">
        <v>158</v>
      </c>
      <c r="B61" s="43">
        <v>120</v>
      </c>
      <c r="C61" s="43"/>
      <c r="D61" s="43"/>
      <c r="E61" s="44"/>
      <c r="F61" s="62"/>
      <c r="G61" s="62"/>
      <c r="Q61" s="82"/>
      <c r="R61" s="62"/>
    </row>
    <row r="62" spans="1:18" s="46" customFormat="1" x14ac:dyDescent="0.25">
      <c r="A62" s="45" t="s">
        <v>159</v>
      </c>
      <c r="B62" s="47"/>
      <c r="C62" s="47"/>
      <c r="D62" s="47"/>
      <c r="E62" s="48"/>
      <c r="F62" s="50"/>
      <c r="G62" s="50"/>
      <c r="Q62" s="81"/>
      <c r="R62" s="47">
        <v>400</v>
      </c>
    </row>
    <row r="63" spans="1:18" s="46" customFormat="1" x14ac:dyDescent="0.25">
      <c r="A63" s="45" t="s">
        <v>160</v>
      </c>
      <c r="B63" s="47"/>
      <c r="C63" s="47"/>
      <c r="D63" s="47"/>
      <c r="E63" s="48"/>
      <c r="F63" s="50"/>
      <c r="G63" s="50"/>
      <c r="Q63" s="81"/>
      <c r="R63" s="47">
        <v>900</v>
      </c>
    </row>
    <row r="64" spans="1:18" s="46" customFormat="1" x14ac:dyDescent="0.25">
      <c r="A64" s="45" t="s">
        <v>161</v>
      </c>
      <c r="B64" s="47"/>
      <c r="C64" s="47"/>
      <c r="D64" s="47"/>
      <c r="E64" s="48"/>
      <c r="F64" s="50"/>
      <c r="G64" s="50"/>
      <c r="Q64" s="81"/>
      <c r="R64" s="50">
        <v>386</v>
      </c>
    </row>
    <row r="65" spans="1:18" s="46" customFormat="1" x14ac:dyDescent="0.25">
      <c r="A65" s="45" t="s">
        <v>162</v>
      </c>
      <c r="B65" s="47"/>
      <c r="C65" s="47"/>
      <c r="D65" s="47"/>
      <c r="E65" s="48"/>
      <c r="F65" s="50"/>
      <c r="G65" s="50"/>
      <c r="Q65" s="81"/>
      <c r="R65" s="50">
        <v>3000</v>
      </c>
    </row>
    <row r="66" spans="1:18" s="61" customFormat="1" x14ac:dyDescent="0.25">
      <c r="A66" s="42" t="s">
        <v>163</v>
      </c>
      <c r="B66" s="43">
        <v>1000</v>
      </c>
      <c r="C66" s="43"/>
      <c r="D66" s="43"/>
      <c r="E66" s="44"/>
      <c r="F66" s="62"/>
      <c r="G66" s="62"/>
      <c r="Q66" s="82"/>
      <c r="R66" s="62"/>
    </row>
    <row r="67" spans="1:18" s="61" customFormat="1" x14ac:dyDescent="0.25">
      <c r="A67" s="42"/>
      <c r="B67" s="43"/>
      <c r="C67" s="43"/>
      <c r="D67" s="43"/>
      <c r="E67" s="44"/>
      <c r="F67" s="62"/>
      <c r="G67" s="62"/>
      <c r="Q67" s="82"/>
      <c r="R67" s="62"/>
    </row>
    <row r="68" spans="1:18" s="61" customFormat="1" x14ac:dyDescent="0.25">
      <c r="A68" s="42"/>
      <c r="B68" s="43"/>
      <c r="C68" s="43"/>
      <c r="D68" s="43"/>
      <c r="E68" s="44"/>
      <c r="F68" s="62"/>
      <c r="G68" s="62"/>
      <c r="Q68" s="82"/>
      <c r="R68" s="62"/>
    </row>
    <row r="69" spans="1:18" s="40" customFormat="1" x14ac:dyDescent="0.25">
      <c r="A69" s="42"/>
      <c r="B69" s="43"/>
      <c r="C69" s="43"/>
      <c r="D69" s="43"/>
      <c r="E69" s="44"/>
      <c r="F69" s="41"/>
      <c r="G69" s="41"/>
      <c r="Q69" s="80"/>
      <c r="R69" s="41"/>
    </row>
    <row r="70" spans="1:18" s="40" customFormat="1" ht="13" x14ac:dyDescent="0.25">
      <c r="A70" s="51"/>
      <c r="B70" s="52">
        <f>SUM(B46:B69)</f>
        <v>301120</v>
      </c>
      <c r="C70" s="52">
        <f>SUM(C46:C47)</f>
        <v>0</v>
      </c>
      <c r="D70" s="52">
        <f>SUM(D46:D47)</f>
        <v>0</v>
      </c>
      <c r="E70" s="53">
        <f>B70+D70</f>
        <v>301120</v>
      </c>
      <c r="F70" s="52">
        <f>E70*E71</f>
        <v>60224</v>
      </c>
      <c r="G70" s="52" t="e">
        <f ca="1">SUM(G46:G324)</f>
        <v>#NUM!</v>
      </c>
      <c r="P70" s="84">
        <f>E70*E71</f>
        <v>60224</v>
      </c>
      <c r="Q70" s="80"/>
      <c r="R70" s="52">
        <f>SUM(R46:R69)</f>
        <v>54548</v>
      </c>
    </row>
    <row r="71" spans="1:18" s="40" customFormat="1" ht="13" x14ac:dyDescent="0.25">
      <c r="A71" s="51"/>
      <c r="B71" s="58"/>
      <c r="C71" s="58"/>
      <c r="D71" s="58"/>
      <c r="E71" s="54">
        <v>0.2</v>
      </c>
      <c r="F71" s="41"/>
      <c r="G71" s="41"/>
      <c r="Q71" s="80"/>
      <c r="R71" s="41"/>
    </row>
    <row r="72" spans="1:18" s="40" customFormat="1" ht="13" x14ac:dyDescent="0.25">
      <c r="A72" s="36" t="s">
        <v>164</v>
      </c>
      <c r="B72" s="59"/>
      <c r="C72" s="43"/>
      <c r="D72" s="59"/>
      <c r="E72" s="59"/>
      <c r="F72" s="41"/>
      <c r="G72" s="41"/>
      <c r="Q72" s="80"/>
      <c r="R72" s="41"/>
    </row>
    <row r="73" spans="1:18" s="40" customFormat="1" ht="13" x14ac:dyDescent="0.25">
      <c r="A73" s="36" t="s">
        <v>165</v>
      </c>
      <c r="B73" s="59"/>
      <c r="C73" s="43"/>
      <c r="D73" s="59"/>
      <c r="E73" s="59"/>
      <c r="F73" s="41"/>
      <c r="G73" s="41"/>
      <c r="Q73" s="80"/>
      <c r="R73" s="41"/>
    </row>
    <row r="74" spans="1:18" s="61" customFormat="1" x14ac:dyDescent="0.25">
      <c r="A74" s="42" t="s">
        <v>54</v>
      </c>
      <c r="B74" s="60">
        <v>35000</v>
      </c>
      <c r="C74" s="59"/>
      <c r="D74" s="59"/>
      <c r="E74" s="44"/>
      <c r="F74" s="62"/>
      <c r="G74" s="62"/>
      <c r="Q74" s="82"/>
      <c r="R74" s="62"/>
    </row>
    <row r="75" spans="1:18" s="61" customFormat="1" x14ac:dyDescent="0.25">
      <c r="A75" s="42" t="s">
        <v>166</v>
      </c>
      <c r="B75" s="59">
        <v>25000</v>
      </c>
      <c r="C75" s="59"/>
      <c r="D75" s="59"/>
      <c r="E75" s="44"/>
      <c r="F75" s="62"/>
      <c r="G75" s="62"/>
      <c r="Q75" s="82"/>
      <c r="R75" s="62"/>
    </row>
    <row r="76" spans="1:18" s="61" customFormat="1" ht="25" x14ac:dyDescent="0.25">
      <c r="A76" s="42" t="s">
        <v>167</v>
      </c>
      <c r="B76" s="59">
        <v>12700</v>
      </c>
      <c r="C76" s="59"/>
      <c r="D76" s="59"/>
      <c r="E76" s="44"/>
      <c r="F76" s="62"/>
      <c r="G76" s="62"/>
      <c r="Q76" s="82"/>
      <c r="R76" s="62"/>
    </row>
    <row r="77" spans="1:18" s="61" customFormat="1" x14ac:dyDescent="0.25">
      <c r="A77" s="42" t="s">
        <v>168</v>
      </c>
      <c r="B77" s="59">
        <v>7000</v>
      </c>
      <c r="C77" s="59"/>
      <c r="D77" s="59"/>
      <c r="E77" s="44"/>
      <c r="F77" s="62"/>
      <c r="G77" s="62">
        <v>7000</v>
      </c>
      <c r="Q77" s="82"/>
      <c r="R77" s="62"/>
    </row>
    <row r="78" spans="1:18" s="46" customFormat="1" x14ac:dyDescent="0.25">
      <c r="A78" s="45" t="s">
        <v>169</v>
      </c>
      <c r="B78" s="69"/>
      <c r="C78" s="69"/>
      <c r="D78" s="69"/>
      <c r="E78" s="48"/>
      <c r="F78" s="50"/>
      <c r="G78" s="50"/>
      <c r="Q78" s="81"/>
      <c r="R78" s="50">
        <v>40235</v>
      </c>
    </row>
    <row r="79" spans="1:18" s="61" customFormat="1" x14ac:dyDescent="0.25">
      <c r="A79" s="42" t="s">
        <v>170</v>
      </c>
      <c r="B79" s="59">
        <v>20000</v>
      </c>
      <c r="C79" s="59"/>
      <c r="D79" s="59"/>
      <c r="E79" s="44"/>
      <c r="F79" s="62"/>
      <c r="G79" s="62"/>
      <c r="Q79" s="82"/>
      <c r="R79" s="62"/>
    </row>
    <row r="80" spans="1:18" s="61" customFormat="1" x14ac:dyDescent="0.25">
      <c r="A80" s="42" t="s">
        <v>171</v>
      </c>
      <c r="B80" s="59">
        <v>3900</v>
      </c>
      <c r="C80" s="59"/>
      <c r="D80" s="59"/>
      <c r="E80" s="44"/>
      <c r="F80" s="62"/>
      <c r="G80" s="62"/>
      <c r="Q80" s="82"/>
      <c r="R80" s="62"/>
    </row>
    <row r="81" spans="1:18" s="61" customFormat="1" x14ac:dyDescent="0.25">
      <c r="A81" s="42" t="s">
        <v>172</v>
      </c>
      <c r="B81" s="59">
        <v>3900</v>
      </c>
      <c r="C81" s="59"/>
      <c r="D81" s="59"/>
      <c r="E81" s="44"/>
      <c r="F81" s="62"/>
      <c r="G81" s="62"/>
      <c r="Q81" s="82"/>
      <c r="R81" s="62"/>
    </row>
    <row r="82" spans="1:18" s="88" customFormat="1" x14ac:dyDescent="0.25">
      <c r="A82" s="42" t="s">
        <v>173</v>
      </c>
      <c r="B82" s="59">
        <v>30000</v>
      </c>
      <c r="C82" s="85"/>
      <c r="D82" s="85"/>
      <c r="E82" s="86"/>
      <c r="F82" s="87"/>
      <c r="G82" s="87"/>
      <c r="Q82" s="89"/>
      <c r="R82" s="87"/>
    </row>
    <row r="83" spans="1:18" s="88" customFormat="1" x14ac:dyDescent="0.25">
      <c r="A83" s="42" t="s">
        <v>174</v>
      </c>
      <c r="B83" s="59">
        <v>4500</v>
      </c>
      <c r="C83" s="85"/>
      <c r="D83" s="85"/>
      <c r="E83" s="86"/>
      <c r="F83" s="87"/>
      <c r="G83" s="87"/>
      <c r="Q83" s="89"/>
      <c r="R83" s="87"/>
    </row>
    <row r="84" spans="1:18" s="61" customFormat="1" x14ac:dyDescent="0.25">
      <c r="A84" s="42" t="s">
        <v>175</v>
      </c>
      <c r="B84" s="59">
        <v>6000</v>
      </c>
      <c r="C84" s="59"/>
      <c r="D84" s="59"/>
      <c r="E84" s="44"/>
      <c r="F84" s="62"/>
      <c r="G84" s="62"/>
      <c r="Q84" s="82"/>
      <c r="R84" s="62"/>
    </row>
    <row r="85" spans="1:18" s="88" customFormat="1" x14ac:dyDescent="0.25">
      <c r="A85" s="42"/>
      <c r="B85" s="85"/>
      <c r="C85" s="85"/>
      <c r="D85" s="85"/>
      <c r="E85" s="86"/>
      <c r="F85" s="87"/>
      <c r="G85" s="87"/>
      <c r="Q85" s="89"/>
      <c r="R85" s="87"/>
    </row>
    <row r="86" spans="1:18" s="88" customFormat="1" x14ac:dyDescent="0.25">
      <c r="A86" s="42"/>
      <c r="B86" s="85"/>
      <c r="C86" s="85"/>
      <c r="D86" s="85"/>
      <c r="E86" s="86"/>
      <c r="F86" s="87"/>
      <c r="G86" s="87"/>
      <c r="Q86" s="89"/>
      <c r="R86" s="87"/>
    </row>
    <row r="87" spans="1:18" s="88" customFormat="1" x14ac:dyDescent="0.25">
      <c r="A87" s="42"/>
      <c r="B87" s="85"/>
      <c r="C87" s="85"/>
      <c r="D87" s="85"/>
      <c r="E87" s="86"/>
      <c r="F87" s="87"/>
      <c r="G87" s="87"/>
      <c r="Q87" s="89"/>
      <c r="R87" s="87"/>
    </row>
    <row r="88" spans="1:18" s="88" customFormat="1" x14ac:dyDescent="0.25">
      <c r="A88" s="90" t="s">
        <v>176</v>
      </c>
      <c r="B88" s="85"/>
      <c r="C88" s="85"/>
      <c r="D88" s="85"/>
      <c r="E88" s="86"/>
      <c r="F88" s="87"/>
      <c r="G88" s="87"/>
      <c r="Q88" s="89"/>
      <c r="R88" s="87"/>
    </row>
    <row r="89" spans="1:18" s="61" customFormat="1" ht="25" x14ac:dyDescent="0.25">
      <c r="A89" s="42" t="s">
        <v>177</v>
      </c>
      <c r="B89" s="59">
        <v>1250</v>
      </c>
      <c r="C89" s="59"/>
      <c r="D89" s="59"/>
      <c r="E89" s="44"/>
      <c r="F89" s="62"/>
      <c r="G89" s="62"/>
      <c r="Q89" s="82"/>
      <c r="R89" s="62"/>
    </row>
    <row r="90" spans="1:18" s="61" customFormat="1" x14ac:dyDescent="0.25">
      <c r="A90" s="42" t="s">
        <v>178</v>
      </c>
      <c r="B90" s="59">
        <v>10000</v>
      </c>
      <c r="C90" s="59"/>
      <c r="D90" s="59"/>
      <c r="E90" s="44"/>
      <c r="F90" s="62"/>
      <c r="G90" s="62"/>
      <c r="Q90" s="82"/>
      <c r="R90" s="62"/>
    </row>
    <row r="91" spans="1:18" s="61" customFormat="1" x14ac:dyDescent="0.25">
      <c r="A91" s="42" t="s">
        <v>179</v>
      </c>
      <c r="B91" s="59">
        <v>2780</v>
      </c>
      <c r="C91" s="59"/>
      <c r="D91" s="59">
        <f>C91*13900/1000000</f>
        <v>0</v>
      </c>
      <c r="E91" s="44"/>
      <c r="F91" s="62"/>
      <c r="G91" s="62"/>
      <c r="Q91" s="82"/>
      <c r="R91" s="62"/>
    </row>
    <row r="92" spans="1:18" s="61" customFormat="1" x14ac:dyDescent="0.25">
      <c r="A92" s="42" t="s">
        <v>180</v>
      </c>
      <c r="B92" s="59">
        <v>5000</v>
      </c>
      <c r="C92" s="59"/>
      <c r="D92" s="59"/>
      <c r="E92" s="44"/>
      <c r="F92" s="62"/>
      <c r="G92" s="62"/>
      <c r="Q92" s="82"/>
      <c r="R92" s="62"/>
    </row>
    <row r="93" spans="1:18" s="61" customFormat="1" x14ac:dyDescent="0.25">
      <c r="A93" s="42" t="s">
        <v>181</v>
      </c>
      <c r="B93" s="59">
        <v>5000</v>
      </c>
      <c r="C93" s="59"/>
      <c r="D93" s="59"/>
      <c r="E93" s="44"/>
      <c r="F93" s="62"/>
      <c r="G93" s="62"/>
      <c r="Q93" s="82"/>
      <c r="R93" s="62"/>
    </row>
    <row r="94" spans="1:18" s="88" customFormat="1" x14ac:dyDescent="0.25">
      <c r="A94" s="42"/>
      <c r="B94" s="85"/>
      <c r="C94" s="85"/>
      <c r="D94" s="85"/>
      <c r="E94" s="86"/>
      <c r="F94" s="87"/>
      <c r="G94" s="87"/>
      <c r="Q94" s="89"/>
      <c r="R94" s="87"/>
    </row>
    <row r="95" spans="1:18" s="88" customFormat="1" x14ac:dyDescent="0.25">
      <c r="A95" s="42"/>
      <c r="B95" s="85"/>
      <c r="C95" s="85"/>
      <c r="D95" s="85"/>
      <c r="E95" s="86"/>
      <c r="F95" s="87"/>
      <c r="G95" s="87"/>
      <c r="Q95" s="89"/>
      <c r="R95" s="87"/>
    </row>
    <row r="96" spans="1:18" s="88" customFormat="1" x14ac:dyDescent="0.25">
      <c r="A96" s="42"/>
      <c r="B96" s="85"/>
      <c r="C96" s="85"/>
      <c r="D96" s="85"/>
      <c r="E96" s="86"/>
      <c r="F96" s="87"/>
      <c r="G96" s="87"/>
      <c r="Q96" s="89"/>
      <c r="R96" s="87"/>
    </row>
    <row r="97" spans="1:18" s="61" customFormat="1" x14ac:dyDescent="0.25">
      <c r="A97" s="42"/>
      <c r="B97" s="59"/>
      <c r="C97" s="59"/>
      <c r="D97" s="59"/>
      <c r="E97" s="44"/>
      <c r="F97" s="62"/>
      <c r="G97" s="62"/>
      <c r="Q97" s="82"/>
      <c r="R97" s="62"/>
    </row>
    <row r="98" spans="1:18" s="61" customFormat="1" x14ac:dyDescent="0.25">
      <c r="A98" s="42"/>
      <c r="B98" s="59"/>
      <c r="C98" s="59"/>
      <c r="D98" s="59"/>
      <c r="E98" s="44"/>
      <c r="F98" s="62"/>
      <c r="G98" s="62"/>
      <c r="Q98" s="82"/>
      <c r="R98" s="62"/>
    </row>
    <row r="99" spans="1:18" s="61" customFormat="1" ht="13" x14ac:dyDescent="0.3">
      <c r="A99" s="91" t="s">
        <v>182</v>
      </c>
      <c r="B99" s="59"/>
      <c r="C99" s="59"/>
      <c r="D99" s="59"/>
      <c r="E99" s="44"/>
      <c r="F99" s="62"/>
      <c r="G99" s="62"/>
      <c r="Q99" s="82"/>
      <c r="R99" s="62"/>
    </row>
    <row r="100" spans="1:18" s="61" customFormat="1" x14ac:dyDescent="0.25">
      <c r="A100" s="42" t="s">
        <v>183</v>
      </c>
      <c r="B100" s="59">
        <v>3000</v>
      </c>
      <c r="C100" s="59"/>
      <c r="D100" s="59"/>
      <c r="E100" s="44"/>
      <c r="F100" s="62"/>
      <c r="G100" s="62"/>
      <c r="Q100" s="82"/>
      <c r="R100" s="62"/>
    </row>
    <row r="101" spans="1:18" s="61" customFormat="1" x14ac:dyDescent="0.25">
      <c r="A101" s="42" t="s">
        <v>184</v>
      </c>
      <c r="B101" s="59">
        <v>2000</v>
      </c>
      <c r="C101" s="59"/>
      <c r="D101" s="59"/>
      <c r="E101" s="44"/>
      <c r="F101" s="62"/>
      <c r="G101" s="62"/>
      <c r="Q101" s="82"/>
      <c r="R101" s="62"/>
    </row>
    <row r="102" spans="1:18" s="61" customFormat="1" x14ac:dyDescent="0.25">
      <c r="A102" s="42" t="s">
        <v>185</v>
      </c>
      <c r="B102" s="59">
        <v>4800</v>
      </c>
      <c r="C102" s="59"/>
      <c r="D102" s="59"/>
      <c r="E102" s="44"/>
      <c r="F102" s="62"/>
      <c r="G102" s="62"/>
      <c r="Q102" s="82"/>
      <c r="R102" s="62"/>
    </row>
    <row r="103" spans="1:18" s="61" customFormat="1" x14ac:dyDescent="0.25">
      <c r="A103" s="42" t="s">
        <v>186</v>
      </c>
      <c r="B103" s="59">
        <v>2000</v>
      </c>
      <c r="C103" s="59"/>
      <c r="D103" s="59"/>
      <c r="E103" s="44"/>
      <c r="F103" s="62"/>
      <c r="G103" s="62"/>
      <c r="Q103" s="82"/>
      <c r="R103" s="62"/>
    </row>
    <row r="104" spans="1:18" s="61" customFormat="1" ht="25" x14ac:dyDescent="0.25">
      <c r="A104" s="42" t="s">
        <v>187</v>
      </c>
      <c r="B104" s="59">
        <v>1600</v>
      </c>
      <c r="C104" s="59"/>
      <c r="D104" s="59"/>
      <c r="E104" s="44"/>
      <c r="F104" s="62"/>
      <c r="G104" s="62"/>
      <c r="Q104" s="82"/>
      <c r="R104" s="62"/>
    </row>
    <row r="105" spans="1:18" s="61" customFormat="1" ht="25" x14ac:dyDescent="0.25">
      <c r="A105" s="42" t="s">
        <v>188</v>
      </c>
      <c r="B105" s="59">
        <v>4000</v>
      </c>
      <c r="C105" s="59"/>
      <c r="D105" s="59"/>
      <c r="E105" s="44"/>
      <c r="F105" s="62"/>
      <c r="G105" s="62"/>
      <c r="Q105" s="82"/>
      <c r="R105" s="62"/>
    </row>
    <row r="106" spans="1:18" s="61" customFormat="1" ht="25" x14ac:dyDescent="0.25">
      <c r="A106" s="42" t="s">
        <v>189</v>
      </c>
      <c r="B106" s="59">
        <v>2000</v>
      </c>
      <c r="C106" s="59"/>
      <c r="D106" s="59"/>
      <c r="E106" s="44"/>
      <c r="F106" s="62"/>
      <c r="G106" s="62"/>
      <c r="Q106" s="82"/>
      <c r="R106" s="62"/>
    </row>
    <row r="107" spans="1:18" s="46" customFormat="1" x14ac:dyDescent="0.25">
      <c r="A107" s="45" t="s">
        <v>190</v>
      </c>
      <c r="B107" s="69"/>
      <c r="C107" s="69"/>
      <c r="D107" s="69"/>
      <c r="E107" s="48"/>
      <c r="F107" s="50"/>
      <c r="G107" s="50"/>
      <c r="Q107" s="81"/>
      <c r="R107" s="50">
        <v>600</v>
      </c>
    </row>
    <row r="108" spans="1:18" s="61" customFormat="1" x14ac:dyDescent="0.25">
      <c r="A108" s="42" t="s">
        <v>191</v>
      </c>
      <c r="B108" s="59">
        <v>3500</v>
      </c>
      <c r="C108" s="59"/>
      <c r="D108" s="59"/>
      <c r="E108" s="44"/>
      <c r="F108" s="62"/>
      <c r="G108" s="62"/>
      <c r="Q108" s="82"/>
      <c r="R108" s="62"/>
    </row>
    <row r="109" spans="1:18" s="61" customFormat="1" x14ac:dyDescent="0.25">
      <c r="A109" s="42" t="s">
        <v>192</v>
      </c>
      <c r="B109" s="59">
        <v>5000</v>
      </c>
      <c r="C109" s="59"/>
      <c r="D109" s="59"/>
      <c r="E109" s="44"/>
      <c r="F109" s="62"/>
      <c r="G109" s="62"/>
      <c r="Q109" s="82"/>
      <c r="R109" s="62"/>
    </row>
    <row r="110" spans="1:18" s="61" customFormat="1" x14ac:dyDescent="0.25">
      <c r="A110" s="42" t="s">
        <v>193</v>
      </c>
      <c r="B110" s="59">
        <v>2000</v>
      </c>
      <c r="C110" s="59"/>
      <c r="D110" s="59"/>
      <c r="E110" s="44"/>
      <c r="F110" s="62"/>
      <c r="G110" s="62"/>
      <c r="Q110" s="82"/>
      <c r="R110" s="62"/>
    </row>
    <row r="111" spans="1:18" s="61" customFormat="1" x14ac:dyDescent="0.25">
      <c r="A111" s="42" t="s">
        <v>194</v>
      </c>
      <c r="B111" s="59">
        <v>500</v>
      </c>
      <c r="C111" s="59"/>
      <c r="D111" s="59"/>
      <c r="E111" s="44"/>
      <c r="F111" s="62"/>
      <c r="G111" s="62"/>
      <c r="Q111" s="82"/>
      <c r="R111" s="62"/>
    </row>
    <row r="112" spans="1:18" s="61" customFormat="1" x14ac:dyDescent="0.25">
      <c r="A112" s="42" t="s">
        <v>195</v>
      </c>
      <c r="B112" s="59">
        <v>1100</v>
      </c>
      <c r="C112" s="59"/>
      <c r="D112" s="59"/>
      <c r="E112" s="44"/>
      <c r="F112" s="62"/>
      <c r="G112" s="62"/>
      <c r="Q112" s="82"/>
      <c r="R112" s="62"/>
    </row>
    <row r="113" spans="1:18" s="61" customFormat="1" x14ac:dyDescent="0.25">
      <c r="A113" s="42" t="s">
        <v>196</v>
      </c>
      <c r="B113" s="59">
        <v>3000</v>
      </c>
      <c r="C113" s="59"/>
      <c r="D113" s="59"/>
      <c r="E113" s="44"/>
      <c r="F113" s="62"/>
      <c r="G113" s="62"/>
      <c r="Q113" s="82"/>
      <c r="R113" s="62"/>
    </row>
    <row r="114" spans="1:18" s="61" customFormat="1" x14ac:dyDescent="0.25">
      <c r="A114" s="42"/>
      <c r="B114" s="59"/>
      <c r="C114" s="59"/>
      <c r="D114" s="59"/>
      <c r="E114" s="44"/>
      <c r="F114" s="62"/>
      <c r="G114" s="62"/>
      <c r="Q114" s="82"/>
      <c r="R114" s="62"/>
    </row>
    <row r="115" spans="1:18" s="61" customFormat="1" x14ac:dyDescent="0.25">
      <c r="A115" s="42"/>
      <c r="C115" s="59"/>
      <c r="D115" s="59"/>
      <c r="E115" s="44"/>
      <c r="F115" s="62"/>
      <c r="G115" s="62"/>
      <c r="Q115" s="82"/>
      <c r="R115" s="62"/>
    </row>
    <row r="116" spans="1:18" s="61" customFormat="1" x14ac:dyDescent="0.25">
      <c r="A116" s="42"/>
      <c r="B116" s="59"/>
      <c r="C116" s="59"/>
      <c r="D116" s="59"/>
      <c r="E116" s="44"/>
      <c r="F116" s="62"/>
      <c r="G116" s="62"/>
      <c r="Q116" s="82"/>
      <c r="R116" s="62"/>
    </row>
    <row r="117" spans="1:18" s="61" customFormat="1" ht="13" x14ac:dyDescent="0.25">
      <c r="A117" s="92" t="s">
        <v>197</v>
      </c>
      <c r="B117" s="59"/>
      <c r="C117" s="59"/>
      <c r="D117" s="59"/>
      <c r="E117" s="44"/>
      <c r="F117" s="62"/>
      <c r="G117" s="62"/>
      <c r="Q117" s="82"/>
      <c r="R117" s="62"/>
    </row>
    <row r="118" spans="1:18" s="46" customFormat="1" x14ac:dyDescent="0.25">
      <c r="A118" s="45" t="s">
        <v>198</v>
      </c>
      <c r="B118" s="69"/>
      <c r="C118" s="69"/>
      <c r="D118" s="69"/>
      <c r="E118" s="48"/>
      <c r="F118" s="50"/>
      <c r="G118" s="50"/>
      <c r="Q118" s="81"/>
      <c r="R118" s="50">
        <v>4000</v>
      </c>
    </row>
    <row r="119" spans="1:18" s="61" customFormat="1" x14ac:dyDescent="0.25">
      <c r="A119" s="42" t="s">
        <v>199</v>
      </c>
      <c r="B119" s="59">
        <v>128</v>
      </c>
      <c r="C119" s="59"/>
      <c r="D119" s="59"/>
      <c r="E119" s="44"/>
      <c r="F119" s="62"/>
      <c r="G119" s="62"/>
      <c r="Q119" s="82"/>
      <c r="R119" s="62"/>
    </row>
    <row r="120" spans="1:18" s="46" customFormat="1" x14ac:dyDescent="0.25">
      <c r="A120" s="45" t="s">
        <v>200</v>
      </c>
      <c r="B120" s="69"/>
      <c r="C120" s="69"/>
      <c r="D120" s="69"/>
      <c r="E120" s="48"/>
      <c r="F120" s="50"/>
      <c r="G120" s="50"/>
      <c r="Q120" s="81"/>
      <c r="R120" s="50">
        <v>1300</v>
      </c>
    </row>
    <row r="121" spans="1:18" s="61" customFormat="1" x14ac:dyDescent="0.25">
      <c r="A121" s="42" t="s">
        <v>201</v>
      </c>
      <c r="B121" s="59">
        <v>5000</v>
      </c>
      <c r="C121" s="59"/>
      <c r="D121" s="59"/>
      <c r="E121" s="44"/>
      <c r="F121" s="62"/>
      <c r="G121" s="62"/>
      <c r="Q121" s="82"/>
      <c r="R121" s="62"/>
    </row>
    <row r="122" spans="1:18" s="61" customFormat="1" x14ac:dyDescent="0.25">
      <c r="A122" s="42" t="s">
        <v>202</v>
      </c>
      <c r="B122" s="59">
        <v>5500</v>
      </c>
      <c r="C122" s="59"/>
      <c r="D122" s="59"/>
      <c r="E122" s="44"/>
      <c r="F122" s="62"/>
      <c r="G122" s="62"/>
      <c r="Q122" s="82"/>
      <c r="R122" s="62"/>
    </row>
    <row r="123" spans="1:18" s="61" customFormat="1" x14ac:dyDescent="0.25">
      <c r="A123" s="42" t="s">
        <v>203</v>
      </c>
      <c r="B123" s="59">
        <v>6000</v>
      </c>
      <c r="C123" s="59"/>
      <c r="D123" s="59"/>
      <c r="E123" s="44"/>
      <c r="F123" s="62"/>
      <c r="G123" s="62"/>
      <c r="Q123" s="82"/>
      <c r="R123" s="62"/>
    </row>
    <row r="124" spans="1:18" s="61" customFormat="1" x14ac:dyDescent="0.25">
      <c r="A124" s="42" t="s">
        <v>204</v>
      </c>
      <c r="B124" s="59">
        <v>6000</v>
      </c>
      <c r="C124" s="59"/>
      <c r="D124" s="59"/>
      <c r="E124" s="44"/>
      <c r="F124" s="62"/>
      <c r="G124" s="62"/>
      <c r="Q124" s="82"/>
      <c r="R124" s="62"/>
    </row>
    <row r="125" spans="1:18" s="61" customFormat="1" x14ac:dyDescent="0.25">
      <c r="A125" s="42" t="s">
        <v>205</v>
      </c>
      <c r="B125" s="59">
        <v>2000</v>
      </c>
      <c r="C125" s="59"/>
      <c r="D125" s="59"/>
      <c r="E125" s="44"/>
      <c r="F125" s="62"/>
      <c r="G125" s="62"/>
      <c r="Q125" s="82"/>
      <c r="R125" s="62"/>
    </row>
    <row r="126" spans="1:18" s="61" customFormat="1" x14ac:dyDescent="0.25">
      <c r="A126" s="42"/>
      <c r="B126" s="59"/>
      <c r="C126" s="59"/>
      <c r="D126" s="59"/>
      <c r="E126" s="44"/>
      <c r="F126" s="62"/>
      <c r="G126" s="62"/>
      <c r="Q126" s="82"/>
      <c r="R126" s="62"/>
    </row>
    <row r="127" spans="1:18" s="61" customFormat="1" x14ac:dyDescent="0.25">
      <c r="A127" s="42"/>
      <c r="B127" s="59"/>
      <c r="C127" s="59"/>
      <c r="D127" s="59"/>
      <c r="E127" s="44"/>
      <c r="F127" s="62"/>
      <c r="G127" s="62"/>
      <c r="Q127" s="82"/>
      <c r="R127" s="62"/>
    </row>
    <row r="128" spans="1:18" s="61" customFormat="1" x14ac:dyDescent="0.25">
      <c r="A128" s="42"/>
      <c r="B128" s="59"/>
      <c r="C128" s="59"/>
      <c r="D128" s="59"/>
      <c r="E128" s="44"/>
      <c r="F128" s="62"/>
      <c r="G128" s="62"/>
      <c r="Q128" s="82"/>
      <c r="R128" s="62"/>
    </row>
    <row r="129" spans="1:20" s="40" customFormat="1" ht="13" x14ac:dyDescent="0.25">
      <c r="A129" s="51"/>
      <c r="B129" s="64">
        <f>SUM(B74:B128)</f>
        <v>231158</v>
      </c>
      <c r="C129" s="64">
        <f>SUM(C74:C128)</f>
        <v>0</v>
      </c>
      <c r="D129" s="64">
        <f>SUM(D74:D128)</f>
        <v>0</v>
      </c>
      <c r="E129" s="53">
        <f>B129+D129</f>
        <v>231158</v>
      </c>
      <c r="F129" s="64">
        <f>E129*E130</f>
        <v>46231.600000000006</v>
      </c>
      <c r="G129" s="64">
        <f>SUM(G74:G128)</f>
        <v>7000</v>
      </c>
      <c r="P129" s="84">
        <f>E129*E130</f>
        <v>46231.600000000006</v>
      </c>
      <c r="Q129" s="80"/>
      <c r="R129" s="64">
        <f>SUM(R74:R128)</f>
        <v>46135</v>
      </c>
    </row>
    <row r="130" spans="1:20" s="40" customFormat="1" ht="13" x14ac:dyDescent="0.25">
      <c r="A130" s="51"/>
      <c r="B130" s="66"/>
      <c r="C130" s="66"/>
      <c r="D130" s="66"/>
      <c r="E130" s="54">
        <v>0.2</v>
      </c>
      <c r="F130" s="41"/>
      <c r="G130" s="41"/>
      <c r="Q130" s="80"/>
      <c r="R130" s="41"/>
    </row>
    <row r="131" spans="1:20" s="40" customFormat="1" ht="13" x14ac:dyDescent="0.25">
      <c r="A131" s="36" t="s">
        <v>61</v>
      </c>
      <c r="B131" s="43"/>
      <c r="C131" s="59"/>
      <c r="D131" s="43"/>
      <c r="E131" s="44"/>
      <c r="F131" s="41"/>
      <c r="G131" s="41"/>
      <c r="Q131" s="80"/>
      <c r="R131" s="41"/>
    </row>
    <row r="132" spans="1:20" s="40" customFormat="1" ht="13" x14ac:dyDescent="0.25">
      <c r="A132" s="36" t="s">
        <v>206</v>
      </c>
      <c r="B132" s="43"/>
      <c r="C132" s="59"/>
      <c r="D132" s="43"/>
      <c r="E132" s="44"/>
      <c r="F132" s="41"/>
      <c r="G132" s="41"/>
      <c r="Q132" s="80"/>
      <c r="R132" s="41"/>
    </row>
    <row r="133" spans="1:20" s="93" customFormat="1" ht="25" x14ac:dyDescent="0.25">
      <c r="A133" s="45" t="s">
        <v>207</v>
      </c>
      <c r="B133" s="69"/>
      <c r="D133" s="47"/>
      <c r="F133" s="94"/>
      <c r="G133" s="94"/>
      <c r="Q133" s="95"/>
      <c r="R133" s="94">
        <v>6380</v>
      </c>
    </row>
    <row r="134" spans="1:20" s="68" customFormat="1" ht="12" customHeight="1" x14ac:dyDescent="0.25">
      <c r="A134" s="42" t="s">
        <v>208</v>
      </c>
      <c r="B134" s="59">
        <v>700</v>
      </c>
      <c r="D134" s="43"/>
      <c r="F134" s="67"/>
      <c r="G134" s="67"/>
      <c r="Q134" s="96"/>
      <c r="R134" s="67"/>
    </row>
    <row r="135" spans="1:20" x14ac:dyDescent="0.25">
      <c r="A135" s="42" t="s">
        <v>209</v>
      </c>
      <c r="B135" s="59">
        <v>1500</v>
      </c>
      <c r="D135" s="43"/>
      <c r="F135" s="31"/>
      <c r="G135" s="31"/>
      <c r="Q135" s="97"/>
      <c r="R135" s="31"/>
      <c r="S135" s="18"/>
      <c r="T135" s="18"/>
    </row>
    <row r="136" spans="1:20" s="93" customFormat="1" x14ac:dyDescent="0.25">
      <c r="A136" s="45" t="s">
        <v>210</v>
      </c>
      <c r="B136" s="69"/>
      <c r="D136" s="47"/>
      <c r="F136" s="94"/>
      <c r="G136" s="94"/>
      <c r="Q136" s="95"/>
      <c r="R136" s="94">
        <v>4000</v>
      </c>
    </row>
    <row r="137" spans="1:20" x14ac:dyDescent="0.25">
      <c r="A137" s="42" t="s">
        <v>211</v>
      </c>
      <c r="B137" s="59">
        <v>1700</v>
      </c>
      <c r="D137" s="43"/>
      <c r="F137" s="31"/>
      <c r="G137" s="31"/>
      <c r="Q137" s="97"/>
      <c r="R137" s="31"/>
      <c r="S137" s="18"/>
      <c r="T137" s="18"/>
    </row>
    <row r="138" spans="1:20" x14ac:dyDescent="0.25">
      <c r="A138" s="42" t="s">
        <v>212</v>
      </c>
      <c r="B138" s="59">
        <v>200</v>
      </c>
      <c r="D138" s="43"/>
      <c r="F138" s="31"/>
      <c r="G138" s="31"/>
      <c r="Q138" s="97"/>
      <c r="R138" s="31"/>
      <c r="S138" s="18"/>
      <c r="T138" s="18"/>
    </row>
    <row r="139" spans="1:20" x14ac:dyDescent="0.25">
      <c r="A139" s="42" t="s">
        <v>213</v>
      </c>
      <c r="B139" s="59">
        <v>5000</v>
      </c>
      <c r="D139" s="43"/>
      <c r="F139" s="31"/>
      <c r="G139" s="31"/>
      <c r="Q139" s="97"/>
      <c r="R139" s="31"/>
      <c r="S139" s="18"/>
      <c r="T139" s="18"/>
    </row>
    <row r="140" spans="1:20" x14ac:dyDescent="0.25">
      <c r="A140" s="42" t="s">
        <v>214</v>
      </c>
      <c r="B140" s="59">
        <v>1500</v>
      </c>
      <c r="D140" s="43"/>
      <c r="F140" s="31"/>
      <c r="G140" s="31"/>
      <c r="Q140" s="97"/>
      <c r="R140" s="31"/>
      <c r="S140" s="18"/>
      <c r="T140" s="18"/>
    </row>
    <row r="141" spans="1:20" x14ac:dyDescent="0.25">
      <c r="A141" s="42" t="s">
        <v>215</v>
      </c>
      <c r="B141" s="59">
        <v>1000</v>
      </c>
      <c r="D141" s="43"/>
      <c r="F141" s="31"/>
      <c r="G141" s="31"/>
      <c r="Q141" s="97"/>
      <c r="R141" s="31"/>
      <c r="S141" s="18"/>
      <c r="T141" s="18"/>
    </row>
    <row r="142" spans="1:20" ht="25" x14ac:dyDescent="0.25">
      <c r="A142" s="42" t="s">
        <v>216</v>
      </c>
      <c r="B142" s="98">
        <v>1200</v>
      </c>
      <c r="D142" s="43"/>
      <c r="F142" s="31"/>
      <c r="G142" s="31"/>
      <c r="Q142" s="97"/>
      <c r="R142" s="31"/>
      <c r="S142" s="18"/>
      <c r="T142" s="18"/>
    </row>
    <row r="143" spans="1:20" ht="25" x14ac:dyDescent="0.25">
      <c r="A143" s="42" t="s">
        <v>217</v>
      </c>
      <c r="B143" s="60">
        <v>2500</v>
      </c>
      <c r="D143" s="43"/>
      <c r="F143" s="31"/>
      <c r="G143" s="31"/>
      <c r="Q143" s="97"/>
      <c r="R143" s="31"/>
      <c r="S143" s="18"/>
      <c r="T143" s="18"/>
    </row>
    <row r="144" spans="1:20" x14ac:dyDescent="0.25">
      <c r="A144" s="42" t="s">
        <v>218</v>
      </c>
      <c r="B144" s="59">
        <v>1500</v>
      </c>
      <c r="D144" s="43"/>
      <c r="F144" s="31"/>
      <c r="G144" s="31"/>
      <c r="Q144" s="97"/>
      <c r="R144" s="31"/>
      <c r="S144" s="18"/>
      <c r="T144" s="18"/>
    </row>
    <row r="145" spans="1:20" x14ac:dyDescent="0.25">
      <c r="A145" s="42" t="s">
        <v>219</v>
      </c>
      <c r="B145" s="59">
        <v>1000</v>
      </c>
      <c r="D145" s="43"/>
      <c r="F145" s="31"/>
      <c r="G145" s="31"/>
      <c r="Q145" s="97"/>
      <c r="R145" s="31"/>
      <c r="S145" s="18"/>
      <c r="T145" s="18"/>
    </row>
    <row r="146" spans="1:20" s="68" customFormat="1" x14ac:dyDescent="0.25">
      <c r="A146" s="42" t="s">
        <v>220</v>
      </c>
      <c r="B146" s="59">
        <v>280</v>
      </c>
      <c r="D146" s="43"/>
      <c r="F146" s="67"/>
      <c r="G146" s="67"/>
      <c r="Q146" s="96"/>
      <c r="R146" s="67"/>
    </row>
    <row r="147" spans="1:20" x14ac:dyDescent="0.25">
      <c r="A147" s="42"/>
      <c r="B147" s="59"/>
      <c r="D147" s="43"/>
      <c r="F147" s="31"/>
      <c r="G147" s="31"/>
      <c r="Q147" s="97"/>
      <c r="R147" s="31"/>
      <c r="S147" s="18"/>
      <c r="T147" s="18"/>
    </row>
    <row r="148" spans="1:20" x14ac:dyDescent="0.25">
      <c r="A148" s="42"/>
      <c r="B148" s="59"/>
      <c r="D148" s="43"/>
      <c r="F148" s="31"/>
      <c r="G148" s="31"/>
      <c r="Q148" s="97"/>
      <c r="R148" s="31"/>
      <c r="S148" s="18"/>
      <c r="T148" s="18"/>
    </row>
    <row r="149" spans="1:20" x14ac:dyDescent="0.25">
      <c r="A149" s="42"/>
      <c r="B149" s="59"/>
      <c r="D149" s="43"/>
      <c r="F149" s="31"/>
      <c r="G149" s="31"/>
      <c r="Q149" s="97"/>
      <c r="R149" s="31"/>
      <c r="S149" s="18"/>
      <c r="T149" s="18"/>
    </row>
    <row r="150" spans="1:20" x14ac:dyDescent="0.25">
      <c r="A150" s="42"/>
      <c r="B150" s="59"/>
      <c r="D150" s="43"/>
      <c r="F150" s="31"/>
      <c r="G150" s="31"/>
      <c r="Q150" s="97"/>
      <c r="R150" s="31"/>
      <c r="S150" s="18"/>
      <c r="T150" s="18"/>
    </row>
    <row r="151" spans="1:20" x14ac:dyDescent="0.25">
      <c r="A151" s="42"/>
      <c r="B151" s="59"/>
      <c r="D151" s="43"/>
      <c r="F151" s="31"/>
      <c r="G151" s="31"/>
      <c r="Q151" s="97"/>
      <c r="R151" s="31"/>
      <c r="S151" s="18"/>
      <c r="T151" s="18"/>
    </row>
    <row r="152" spans="1:20" ht="13" x14ac:dyDescent="0.25">
      <c r="A152" s="36" t="s">
        <v>67</v>
      </c>
      <c r="B152" s="59"/>
      <c r="D152" s="43"/>
      <c r="F152" s="31"/>
      <c r="G152" s="31"/>
      <c r="Q152" s="97"/>
      <c r="R152" s="31"/>
      <c r="S152" s="18"/>
      <c r="T152" s="18"/>
    </row>
    <row r="153" spans="1:20" s="68" customFormat="1" x14ac:dyDescent="0.25">
      <c r="A153" s="42" t="s">
        <v>71</v>
      </c>
      <c r="B153" s="67">
        <v>1000</v>
      </c>
      <c r="D153" s="43"/>
      <c r="F153" s="67"/>
      <c r="G153" s="67"/>
      <c r="Q153" s="96"/>
      <c r="R153" s="67"/>
    </row>
    <row r="154" spans="1:20" s="68" customFormat="1" x14ac:dyDescent="0.25">
      <c r="A154" s="42" t="s">
        <v>77</v>
      </c>
      <c r="B154" s="67">
        <v>2000</v>
      </c>
      <c r="C154" s="67"/>
      <c r="D154" s="59">
        <f>C154*13000/1000000</f>
        <v>0</v>
      </c>
      <c r="F154" s="67"/>
      <c r="G154" s="67"/>
      <c r="Q154" s="96"/>
      <c r="R154" s="67"/>
    </row>
    <row r="155" spans="1:20" s="68" customFormat="1" x14ac:dyDescent="0.25">
      <c r="A155" s="42" t="s">
        <v>221</v>
      </c>
      <c r="B155" s="59">
        <v>4500</v>
      </c>
      <c r="D155" s="43"/>
      <c r="F155" s="67"/>
      <c r="G155" s="67"/>
      <c r="Q155" s="96"/>
      <c r="R155" s="67"/>
    </row>
    <row r="156" spans="1:20" s="68" customFormat="1" x14ac:dyDescent="0.25">
      <c r="A156" s="42" t="s">
        <v>222</v>
      </c>
      <c r="B156" s="59">
        <v>5000</v>
      </c>
      <c r="D156" s="43"/>
      <c r="F156" s="67"/>
      <c r="G156" s="67"/>
      <c r="Q156" s="96"/>
      <c r="R156" s="67"/>
    </row>
    <row r="157" spans="1:20" s="68" customFormat="1" x14ac:dyDescent="0.25">
      <c r="A157" s="42" t="s">
        <v>223</v>
      </c>
      <c r="B157" s="59">
        <v>500</v>
      </c>
      <c r="D157" s="43"/>
      <c r="F157" s="67"/>
      <c r="G157" s="67"/>
      <c r="Q157" s="96"/>
      <c r="R157" s="67"/>
    </row>
    <row r="158" spans="1:20" s="68" customFormat="1" x14ac:dyDescent="0.25">
      <c r="A158" s="42" t="s">
        <v>224</v>
      </c>
      <c r="B158" s="59">
        <v>2500</v>
      </c>
      <c r="D158" s="43"/>
      <c r="F158" s="67"/>
      <c r="G158" s="67"/>
      <c r="Q158" s="96"/>
      <c r="R158" s="67"/>
    </row>
    <row r="159" spans="1:20" s="68" customFormat="1" x14ac:dyDescent="0.25">
      <c r="A159" s="42" t="s">
        <v>225</v>
      </c>
      <c r="B159" s="59">
        <v>3500</v>
      </c>
      <c r="D159" s="43"/>
      <c r="F159" s="67"/>
      <c r="G159" s="67"/>
      <c r="Q159" s="96"/>
      <c r="R159" s="67"/>
    </row>
    <row r="160" spans="1:20" s="68" customFormat="1" x14ac:dyDescent="0.25">
      <c r="A160" s="42" t="s">
        <v>226</v>
      </c>
      <c r="B160" s="59">
        <v>500</v>
      </c>
      <c r="D160" s="43"/>
      <c r="F160" s="67"/>
      <c r="G160" s="67"/>
      <c r="Q160" s="96"/>
      <c r="R160" s="67"/>
    </row>
    <row r="161" spans="1:20" s="68" customFormat="1" x14ac:dyDescent="0.25">
      <c r="A161" s="42" t="s">
        <v>227</v>
      </c>
      <c r="B161" s="59">
        <v>5000</v>
      </c>
      <c r="D161" s="43"/>
      <c r="F161" s="67"/>
      <c r="G161" s="67"/>
      <c r="Q161" s="96"/>
      <c r="R161" s="67"/>
    </row>
    <row r="162" spans="1:20" s="68" customFormat="1" x14ac:dyDescent="0.25">
      <c r="A162" s="42" t="s">
        <v>228</v>
      </c>
      <c r="B162" s="59">
        <v>2000</v>
      </c>
      <c r="D162" s="43"/>
      <c r="F162" s="67"/>
      <c r="G162" s="67"/>
      <c r="Q162" s="96"/>
      <c r="R162" s="67"/>
    </row>
    <row r="163" spans="1:20" s="68" customFormat="1" x14ac:dyDescent="0.25">
      <c r="A163" s="42" t="s">
        <v>229</v>
      </c>
      <c r="B163" s="59">
        <v>3000</v>
      </c>
      <c r="D163" s="43"/>
      <c r="F163" s="67"/>
      <c r="G163" s="67"/>
      <c r="Q163" s="96"/>
      <c r="R163" s="67"/>
    </row>
    <row r="164" spans="1:20" s="68" customFormat="1" x14ac:dyDescent="0.25">
      <c r="A164" s="42" t="s">
        <v>230</v>
      </c>
      <c r="B164" s="59">
        <v>4000</v>
      </c>
      <c r="D164" s="43"/>
      <c r="F164" s="67"/>
      <c r="G164" s="67"/>
      <c r="Q164" s="96"/>
      <c r="R164" s="67"/>
    </row>
    <row r="165" spans="1:20" s="68" customFormat="1" x14ac:dyDescent="0.25">
      <c r="A165" s="42" t="s">
        <v>231</v>
      </c>
      <c r="B165" s="59">
        <v>500</v>
      </c>
      <c r="D165" s="43"/>
      <c r="F165" s="67"/>
      <c r="G165" s="67"/>
      <c r="Q165" s="96"/>
      <c r="R165" s="67"/>
    </row>
    <row r="166" spans="1:20" s="68" customFormat="1" x14ac:dyDescent="0.25">
      <c r="A166" s="42" t="s">
        <v>232</v>
      </c>
      <c r="B166" s="59">
        <v>366</v>
      </c>
      <c r="D166" s="43"/>
      <c r="F166" s="67"/>
      <c r="G166" s="67"/>
      <c r="Q166" s="96"/>
      <c r="R166" s="67"/>
    </row>
    <row r="167" spans="1:20" s="68" customFormat="1" x14ac:dyDescent="0.25">
      <c r="A167" s="42" t="s">
        <v>233</v>
      </c>
      <c r="B167" s="59">
        <v>1000</v>
      </c>
      <c r="D167" s="43"/>
      <c r="F167" s="67"/>
      <c r="G167" s="67"/>
      <c r="Q167" s="96"/>
      <c r="R167" s="67"/>
    </row>
    <row r="168" spans="1:20" s="68" customFormat="1" x14ac:dyDescent="0.25">
      <c r="A168" s="42" t="s">
        <v>234</v>
      </c>
      <c r="B168" s="59">
        <v>500</v>
      </c>
      <c r="D168" s="43"/>
      <c r="F168" s="67"/>
      <c r="G168" s="67"/>
      <c r="Q168" s="96"/>
      <c r="R168" s="67"/>
    </row>
    <row r="169" spans="1:20" s="68" customFormat="1" x14ac:dyDescent="0.25">
      <c r="A169" s="42" t="s">
        <v>235</v>
      </c>
      <c r="B169" s="59">
        <v>1000</v>
      </c>
      <c r="D169" s="43"/>
      <c r="F169" s="67"/>
      <c r="G169" s="67"/>
      <c r="Q169" s="96"/>
      <c r="R169" s="67"/>
    </row>
    <row r="170" spans="1:20" s="68" customFormat="1" x14ac:dyDescent="0.25">
      <c r="A170" s="42" t="s">
        <v>236</v>
      </c>
      <c r="B170" s="59">
        <v>1500</v>
      </c>
      <c r="D170" s="43"/>
      <c r="F170" s="67"/>
      <c r="G170" s="67"/>
      <c r="Q170" s="96"/>
      <c r="R170" s="67"/>
    </row>
    <row r="171" spans="1:20" s="68" customFormat="1" x14ac:dyDescent="0.25">
      <c r="A171" s="42" t="s">
        <v>237</v>
      </c>
      <c r="B171" s="59">
        <v>500</v>
      </c>
      <c r="D171" s="43"/>
      <c r="F171" s="67"/>
      <c r="G171" s="67"/>
      <c r="Q171" s="96"/>
      <c r="R171" s="67"/>
    </row>
    <row r="172" spans="1:20" s="68" customFormat="1" x14ac:dyDescent="0.25">
      <c r="A172" s="42"/>
      <c r="B172" s="59"/>
      <c r="D172" s="43"/>
      <c r="F172" s="67"/>
      <c r="G172" s="67"/>
      <c r="Q172" s="96"/>
      <c r="R172" s="67"/>
    </row>
    <row r="173" spans="1:20" s="68" customFormat="1" x14ac:dyDescent="0.25">
      <c r="A173" s="42"/>
      <c r="B173" s="59"/>
      <c r="D173" s="43"/>
      <c r="F173" s="67"/>
      <c r="G173" s="67"/>
      <c r="Q173" s="96"/>
      <c r="R173" s="67"/>
    </row>
    <row r="174" spans="1:20" x14ac:dyDescent="0.25">
      <c r="A174" s="42"/>
      <c r="B174" s="59"/>
      <c r="D174" s="43"/>
      <c r="F174" s="31"/>
      <c r="G174" s="31"/>
      <c r="Q174" s="97"/>
      <c r="R174" s="31"/>
      <c r="S174" s="18"/>
      <c r="T174" s="18"/>
    </row>
    <row r="175" spans="1:20" x14ac:dyDescent="0.25">
      <c r="A175" s="42"/>
      <c r="B175" s="59"/>
      <c r="D175" s="43"/>
      <c r="F175" s="31"/>
      <c r="G175" s="31"/>
      <c r="Q175" s="97"/>
      <c r="R175" s="31"/>
      <c r="S175" s="18"/>
      <c r="T175" s="18"/>
    </row>
    <row r="176" spans="1:20" x14ac:dyDescent="0.25">
      <c r="A176" s="42"/>
      <c r="B176" s="59"/>
      <c r="D176" s="43"/>
      <c r="F176" s="31"/>
      <c r="G176" s="31"/>
      <c r="Q176" s="97"/>
      <c r="R176" s="31"/>
      <c r="S176" s="18"/>
      <c r="T176" s="18"/>
    </row>
    <row r="177" spans="1:20" ht="13" x14ac:dyDescent="0.25">
      <c r="A177" s="36" t="s">
        <v>147</v>
      </c>
      <c r="B177" s="59"/>
      <c r="D177" s="43"/>
      <c r="F177" s="31"/>
      <c r="G177" s="31"/>
      <c r="Q177" s="97"/>
      <c r="R177" s="31"/>
      <c r="S177" s="18"/>
      <c r="T177" s="18"/>
    </row>
    <row r="178" spans="1:20" x14ac:dyDescent="0.25">
      <c r="A178" s="42" t="s">
        <v>238</v>
      </c>
      <c r="B178" s="59">
        <v>6300</v>
      </c>
      <c r="D178" s="43"/>
      <c r="F178" s="31"/>
      <c r="G178" s="31"/>
      <c r="Q178" s="97"/>
      <c r="R178" s="31"/>
      <c r="S178" s="18"/>
      <c r="T178" s="18"/>
    </row>
    <row r="179" spans="1:20" x14ac:dyDescent="0.25">
      <c r="A179" s="42" t="s">
        <v>239</v>
      </c>
      <c r="B179" s="59">
        <v>36000</v>
      </c>
      <c r="D179" s="43"/>
      <c r="F179" s="31"/>
      <c r="G179" s="31"/>
      <c r="Q179" s="97"/>
      <c r="R179" s="31"/>
      <c r="S179" s="18"/>
      <c r="T179" s="18"/>
    </row>
    <row r="180" spans="1:20" s="93" customFormat="1" x14ac:dyDescent="0.25">
      <c r="A180" s="45" t="s">
        <v>240</v>
      </c>
      <c r="B180" s="69"/>
      <c r="D180" s="47"/>
      <c r="F180" s="94"/>
      <c r="G180" s="94"/>
      <c r="Q180" s="95"/>
      <c r="R180" s="94">
        <v>42000</v>
      </c>
    </row>
    <row r="181" spans="1:20" x14ac:dyDescent="0.25">
      <c r="A181" s="42" t="s">
        <v>241</v>
      </c>
      <c r="B181" s="59">
        <v>16000</v>
      </c>
      <c r="D181" s="43"/>
      <c r="F181" s="31"/>
      <c r="G181" s="31"/>
      <c r="Q181" s="97"/>
      <c r="R181" s="31"/>
      <c r="S181" s="18"/>
      <c r="T181" s="18"/>
    </row>
    <row r="182" spans="1:20" x14ac:dyDescent="0.25">
      <c r="A182" s="42" t="s">
        <v>242</v>
      </c>
      <c r="B182" s="59">
        <v>7000</v>
      </c>
      <c r="D182" s="43"/>
      <c r="F182" s="31"/>
      <c r="G182" s="31"/>
      <c r="Q182" s="97"/>
      <c r="R182" s="31"/>
      <c r="S182" s="18"/>
      <c r="T182" s="18"/>
    </row>
    <row r="183" spans="1:20" x14ac:dyDescent="0.25">
      <c r="A183" s="42" t="s">
        <v>243</v>
      </c>
      <c r="B183" s="59">
        <v>14000</v>
      </c>
      <c r="D183" s="43"/>
      <c r="F183" s="31"/>
      <c r="G183" s="31"/>
      <c r="Q183" s="97"/>
      <c r="R183" s="31"/>
      <c r="S183" s="18"/>
      <c r="T183" s="18"/>
    </row>
    <row r="184" spans="1:20" x14ac:dyDescent="0.25">
      <c r="A184" s="42" t="s">
        <v>244</v>
      </c>
      <c r="B184" s="59">
        <v>24000</v>
      </c>
      <c r="D184" s="43"/>
      <c r="F184" s="31"/>
      <c r="G184" s="31"/>
      <c r="Q184" s="97"/>
      <c r="R184" s="31"/>
      <c r="S184" s="18"/>
      <c r="T184" s="18"/>
    </row>
    <row r="185" spans="1:20" x14ac:dyDescent="0.25">
      <c r="A185" s="42" t="s">
        <v>245</v>
      </c>
      <c r="B185" s="59">
        <v>90000</v>
      </c>
      <c r="D185" s="43"/>
      <c r="F185" s="31"/>
      <c r="G185" s="31"/>
      <c r="Q185" s="97"/>
      <c r="R185" s="31"/>
      <c r="S185" s="18"/>
      <c r="T185" s="18"/>
    </row>
    <row r="186" spans="1:20" x14ac:dyDescent="0.25">
      <c r="A186" s="42" t="s">
        <v>246</v>
      </c>
      <c r="B186" s="59">
        <v>90000</v>
      </c>
      <c r="D186" s="43"/>
      <c r="F186" s="31"/>
      <c r="G186" s="31"/>
      <c r="Q186" s="97"/>
      <c r="R186" s="31"/>
      <c r="S186" s="18"/>
      <c r="T186" s="18"/>
    </row>
    <row r="187" spans="1:20" x14ac:dyDescent="0.25">
      <c r="A187" s="42" t="s">
        <v>247</v>
      </c>
      <c r="B187" s="59">
        <v>10000</v>
      </c>
      <c r="D187" s="43"/>
      <c r="F187" s="31"/>
      <c r="G187" s="31"/>
      <c r="Q187" s="97"/>
      <c r="R187" s="31"/>
      <c r="S187" s="18"/>
      <c r="T187" s="18"/>
    </row>
    <row r="188" spans="1:20" x14ac:dyDescent="0.25">
      <c r="A188" s="42"/>
      <c r="B188" s="59"/>
      <c r="D188" s="43"/>
      <c r="F188" s="31"/>
      <c r="G188" s="31"/>
      <c r="Q188" s="97"/>
      <c r="R188" s="31"/>
      <c r="S188" s="18"/>
      <c r="T188" s="18"/>
    </row>
    <row r="189" spans="1:20" x14ac:dyDescent="0.25">
      <c r="A189" s="42"/>
      <c r="B189" s="59"/>
      <c r="D189" s="43"/>
      <c r="F189" s="31"/>
      <c r="G189" s="31"/>
      <c r="Q189" s="97"/>
      <c r="R189" s="31"/>
      <c r="S189" s="18"/>
      <c r="T189" s="18"/>
    </row>
    <row r="190" spans="1:20" x14ac:dyDescent="0.25">
      <c r="F190" s="31"/>
      <c r="G190" s="31"/>
      <c r="Q190" s="97"/>
      <c r="R190" s="31"/>
      <c r="S190" s="18"/>
      <c r="T190" s="18"/>
    </row>
    <row r="191" spans="1:20" s="40" customFormat="1" ht="13" x14ac:dyDescent="0.25">
      <c r="A191" s="36"/>
      <c r="B191" s="52">
        <f>SUM(B131:B190)</f>
        <v>350246</v>
      </c>
      <c r="C191" s="52">
        <f>SUM(C131:C190)</f>
        <v>0</v>
      </c>
      <c r="D191" s="52">
        <f>SUM(D131:D190)</f>
        <v>0</v>
      </c>
      <c r="E191" s="53">
        <f>B191+D191</f>
        <v>350246</v>
      </c>
      <c r="F191" s="52">
        <f>E191*E192</f>
        <v>70049.2</v>
      </c>
      <c r="G191" s="99">
        <f>SUM(G131:G190)</f>
        <v>0</v>
      </c>
      <c r="P191" s="84">
        <f>E191*E192</f>
        <v>70049.2</v>
      </c>
      <c r="Q191" s="80"/>
      <c r="R191" s="52">
        <f>SUM(R131:R190)</f>
        <v>52380</v>
      </c>
    </row>
    <row r="192" spans="1:20" s="40" customFormat="1" ht="13" x14ac:dyDescent="0.25">
      <c r="A192" s="36"/>
      <c r="B192" s="58"/>
      <c r="C192" s="58"/>
      <c r="D192" s="58"/>
      <c r="E192" s="54">
        <v>0.2</v>
      </c>
      <c r="F192" s="41"/>
      <c r="G192" s="41"/>
      <c r="Q192" s="80"/>
      <c r="R192" s="41"/>
    </row>
    <row r="193" spans="1:18" s="40" customFormat="1" ht="13" x14ac:dyDescent="0.25">
      <c r="A193" s="36" t="s">
        <v>78</v>
      </c>
      <c r="B193" s="43"/>
      <c r="C193" s="59"/>
      <c r="D193" s="43"/>
      <c r="E193" s="44"/>
      <c r="F193" s="41"/>
      <c r="G193" s="41"/>
      <c r="Q193" s="80"/>
      <c r="R193" s="41"/>
    </row>
    <row r="194" spans="1:18" s="40" customFormat="1" ht="13" x14ac:dyDescent="0.25">
      <c r="A194" s="36" t="s">
        <v>206</v>
      </c>
      <c r="B194" s="43"/>
      <c r="C194" s="59"/>
      <c r="D194" s="43"/>
      <c r="E194" s="44"/>
      <c r="F194" s="41"/>
      <c r="G194" s="41"/>
      <c r="Q194" s="80"/>
      <c r="R194" s="41"/>
    </row>
    <row r="195" spans="1:18" s="40" customFormat="1" x14ac:dyDescent="0.25">
      <c r="A195" s="42" t="s">
        <v>64</v>
      </c>
      <c r="B195" s="59">
        <v>10000</v>
      </c>
      <c r="C195" s="59"/>
      <c r="D195" s="43"/>
      <c r="E195" s="44"/>
      <c r="F195" s="41"/>
      <c r="G195" s="41"/>
      <c r="Q195" s="80"/>
      <c r="R195" s="41"/>
    </row>
    <row r="196" spans="1:18" s="61" customFormat="1" x14ac:dyDescent="0.25">
      <c r="A196" s="42" t="s">
        <v>248</v>
      </c>
      <c r="B196" s="59">
        <v>15000</v>
      </c>
      <c r="C196" s="59"/>
      <c r="D196" s="43"/>
      <c r="E196" s="44"/>
      <c r="F196" s="62"/>
      <c r="G196" s="62"/>
      <c r="Q196" s="82"/>
      <c r="R196" s="62"/>
    </row>
    <row r="197" spans="1:18" s="61" customFormat="1" x14ac:dyDescent="0.25">
      <c r="A197" s="42" t="s">
        <v>249</v>
      </c>
      <c r="B197" s="59">
        <v>2000</v>
      </c>
      <c r="C197" s="59"/>
      <c r="D197" s="43"/>
      <c r="E197" s="44"/>
      <c r="F197" s="62"/>
      <c r="G197" s="62"/>
      <c r="Q197" s="82"/>
      <c r="R197" s="62"/>
    </row>
    <row r="198" spans="1:18" s="61" customFormat="1" x14ac:dyDescent="0.25">
      <c r="A198" s="42" t="s">
        <v>250</v>
      </c>
      <c r="B198" s="59">
        <v>2500</v>
      </c>
      <c r="C198" s="59"/>
      <c r="D198" s="43"/>
      <c r="E198" s="44"/>
      <c r="F198" s="62"/>
      <c r="G198" s="62"/>
      <c r="Q198" s="82"/>
      <c r="R198" s="62"/>
    </row>
    <row r="199" spans="1:18" s="104" customFormat="1" x14ac:dyDescent="0.25">
      <c r="A199" s="100" t="s">
        <v>251</v>
      </c>
      <c r="B199" s="71">
        <v>15000</v>
      </c>
      <c r="C199" s="71"/>
      <c r="D199" s="101"/>
      <c r="E199" s="102"/>
      <c r="F199" s="103"/>
      <c r="G199" s="103"/>
      <c r="Q199" s="105"/>
      <c r="R199" s="103"/>
    </row>
    <row r="200" spans="1:18" s="40" customFormat="1" x14ac:dyDescent="0.25">
      <c r="A200" s="42" t="s">
        <v>252</v>
      </c>
      <c r="B200" s="59">
        <v>30000</v>
      </c>
      <c r="C200" s="59"/>
      <c r="D200" s="43"/>
      <c r="E200" s="44"/>
      <c r="F200" s="41"/>
      <c r="G200" s="41"/>
      <c r="Q200" s="80"/>
      <c r="R200" s="41"/>
    </row>
    <row r="201" spans="1:18" s="61" customFormat="1" x14ac:dyDescent="0.25">
      <c r="A201" s="42" t="s">
        <v>253</v>
      </c>
      <c r="B201" s="59">
        <v>4000</v>
      </c>
      <c r="C201" s="59"/>
      <c r="D201" s="43"/>
      <c r="E201" s="44"/>
      <c r="F201" s="62"/>
      <c r="G201" s="62"/>
      <c r="Q201" s="82"/>
      <c r="R201" s="62"/>
    </row>
    <row r="202" spans="1:18" s="104" customFormat="1" x14ac:dyDescent="0.25">
      <c r="A202" s="100" t="s">
        <v>254</v>
      </c>
      <c r="B202" s="71">
        <v>7000</v>
      </c>
      <c r="C202" s="71"/>
      <c r="D202" s="101"/>
      <c r="E202" s="102"/>
      <c r="F202" s="103"/>
      <c r="G202" s="103"/>
      <c r="Q202" s="105"/>
      <c r="R202" s="103"/>
    </row>
    <row r="203" spans="1:18" s="61" customFormat="1" x14ac:dyDescent="0.25">
      <c r="A203" s="42" t="s">
        <v>255</v>
      </c>
      <c r="B203" s="59">
        <v>11000</v>
      </c>
      <c r="C203" s="59"/>
      <c r="D203" s="43"/>
      <c r="E203" s="44"/>
      <c r="F203" s="62"/>
      <c r="G203" s="62"/>
      <c r="Q203" s="82"/>
      <c r="R203" s="62"/>
    </row>
    <row r="204" spans="1:18" s="61" customFormat="1" x14ac:dyDescent="0.25">
      <c r="A204" s="42" t="s">
        <v>256</v>
      </c>
      <c r="B204" s="59">
        <v>14000</v>
      </c>
      <c r="C204" s="59"/>
      <c r="D204" s="43"/>
      <c r="E204" s="44"/>
      <c r="F204" s="62"/>
      <c r="G204" s="62"/>
      <c r="Q204" s="82"/>
      <c r="R204" s="62"/>
    </row>
    <row r="205" spans="1:18" s="61" customFormat="1" x14ac:dyDescent="0.25">
      <c r="A205" s="42" t="s">
        <v>257</v>
      </c>
      <c r="B205" s="59">
        <v>8400</v>
      </c>
      <c r="C205" s="59"/>
      <c r="D205" s="43"/>
      <c r="E205" s="44"/>
      <c r="F205" s="62"/>
      <c r="G205" s="62"/>
      <c r="Q205" s="82"/>
      <c r="R205" s="62"/>
    </row>
    <row r="206" spans="1:18" s="61" customFormat="1" x14ac:dyDescent="0.25">
      <c r="A206" s="42" t="s">
        <v>258</v>
      </c>
      <c r="B206" s="59">
        <v>4400</v>
      </c>
      <c r="C206" s="59"/>
      <c r="D206" s="43"/>
      <c r="E206" s="44"/>
      <c r="F206" s="62"/>
      <c r="G206" s="62"/>
      <c r="Q206" s="82"/>
      <c r="R206" s="62"/>
    </row>
    <row r="207" spans="1:18" s="61" customFormat="1" x14ac:dyDescent="0.25">
      <c r="A207" s="42" t="s">
        <v>259</v>
      </c>
      <c r="B207" s="59">
        <v>5000</v>
      </c>
      <c r="C207" s="59"/>
      <c r="D207" s="43"/>
      <c r="E207" s="44"/>
      <c r="F207" s="62"/>
      <c r="G207" s="62"/>
      <c r="Q207" s="82"/>
      <c r="R207" s="62"/>
    </row>
    <row r="208" spans="1:18" s="61" customFormat="1" x14ac:dyDescent="0.25">
      <c r="A208" s="42" t="s">
        <v>260</v>
      </c>
      <c r="B208" s="59">
        <v>8000</v>
      </c>
      <c r="C208" s="59"/>
      <c r="D208" s="43"/>
      <c r="E208" s="44"/>
      <c r="F208" s="62"/>
      <c r="G208" s="62"/>
      <c r="Q208" s="82"/>
      <c r="R208" s="62"/>
    </row>
    <row r="209" spans="1:18" s="61" customFormat="1" x14ac:dyDescent="0.25">
      <c r="A209" s="42" t="s">
        <v>261</v>
      </c>
      <c r="B209" s="59">
        <v>5000</v>
      </c>
      <c r="C209" s="59"/>
      <c r="D209" s="43"/>
      <c r="E209" s="44"/>
      <c r="F209" s="62"/>
      <c r="G209" s="62"/>
      <c r="Q209" s="82"/>
      <c r="R209" s="62"/>
    </row>
    <row r="210" spans="1:18" s="61" customFormat="1" x14ac:dyDescent="0.25">
      <c r="A210" s="42" t="s">
        <v>262</v>
      </c>
      <c r="B210" s="59">
        <v>7000</v>
      </c>
      <c r="C210" s="59"/>
      <c r="D210" s="43"/>
      <c r="E210" s="44"/>
      <c r="F210" s="62"/>
      <c r="G210" s="62"/>
      <c r="Q210" s="82"/>
      <c r="R210" s="62"/>
    </row>
    <row r="211" spans="1:18" s="61" customFormat="1" x14ac:dyDescent="0.25">
      <c r="A211" s="42" t="s">
        <v>263</v>
      </c>
      <c r="B211" s="59">
        <v>2500</v>
      </c>
      <c r="C211" s="59"/>
      <c r="D211" s="43"/>
      <c r="E211" s="44"/>
      <c r="F211" s="62"/>
      <c r="G211" s="62"/>
      <c r="Q211" s="82"/>
      <c r="R211" s="62"/>
    </row>
    <row r="212" spans="1:18" s="61" customFormat="1" x14ac:dyDescent="0.25">
      <c r="A212" s="42" t="s">
        <v>264</v>
      </c>
      <c r="B212" s="59">
        <v>1000</v>
      </c>
      <c r="C212" s="59"/>
      <c r="D212" s="43"/>
      <c r="E212" s="44"/>
      <c r="F212" s="62"/>
      <c r="G212" s="62"/>
      <c r="Q212" s="82"/>
      <c r="R212" s="62"/>
    </row>
    <row r="213" spans="1:18" s="61" customFormat="1" x14ac:dyDescent="0.25">
      <c r="A213" s="42" t="s">
        <v>265</v>
      </c>
      <c r="B213" s="59">
        <v>15000</v>
      </c>
      <c r="C213" s="59"/>
      <c r="D213" s="43"/>
      <c r="E213" s="44"/>
      <c r="F213" s="62"/>
      <c r="G213" s="62"/>
      <c r="Q213" s="82"/>
      <c r="R213" s="62"/>
    </row>
    <row r="214" spans="1:18" s="61" customFormat="1" x14ac:dyDescent="0.25">
      <c r="A214" s="42" t="s">
        <v>169</v>
      </c>
      <c r="B214" s="59">
        <v>15000</v>
      </c>
      <c r="C214" s="59"/>
      <c r="D214" s="43"/>
      <c r="E214" s="44"/>
      <c r="F214" s="62"/>
      <c r="G214" s="62"/>
      <c r="Q214" s="82"/>
      <c r="R214" s="62"/>
    </row>
    <row r="215" spans="1:18" s="61" customFormat="1" x14ac:dyDescent="0.25">
      <c r="A215" s="42" t="s">
        <v>266</v>
      </c>
      <c r="B215" s="59">
        <v>8000</v>
      </c>
      <c r="C215" s="59"/>
      <c r="D215" s="43"/>
      <c r="E215" s="44"/>
      <c r="F215" s="62"/>
      <c r="G215" s="62"/>
      <c r="Q215" s="82"/>
      <c r="R215" s="62"/>
    </row>
    <row r="216" spans="1:18" s="61" customFormat="1" x14ac:dyDescent="0.25">
      <c r="A216" s="42" t="s">
        <v>91</v>
      </c>
      <c r="B216" s="59">
        <v>3000</v>
      </c>
      <c r="C216" s="59"/>
      <c r="D216" s="43"/>
      <c r="E216" s="44"/>
      <c r="F216" s="62"/>
      <c r="G216" s="62"/>
      <c r="Q216" s="82"/>
      <c r="R216" s="62"/>
    </row>
    <row r="217" spans="1:18" s="61" customFormat="1" x14ac:dyDescent="0.25">
      <c r="A217" s="42" t="s">
        <v>267</v>
      </c>
      <c r="B217" s="59">
        <v>27000</v>
      </c>
      <c r="C217" s="59"/>
      <c r="D217" s="43"/>
      <c r="E217" s="44"/>
      <c r="F217" s="62"/>
      <c r="G217" s="62"/>
      <c r="Q217" s="82"/>
      <c r="R217" s="62"/>
    </row>
    <row r="218" spans="1:18" s="61" customFormat="1" x14ac:dyDescent="0.25">
      <c r="A218" s="42"/>
      <c r="B218" s="59"/>
      <c r="C218" s="59"/>
      <c r="D218" s="43"/>
      <c r="E218" s="44"/>
      <c r="F218" s="62"/>
      <c r="G218" s="62"/>
      <c r="Q218" s="82"/>
      <c r="R218" s="62"/>
    </row>
    <row r="219" spans="1:18" s="61" customFormat="1" x14ac:dyDescent="0.25">
      <c r="A219" s="42"/>
      <c r="B219" s="59"/>
      <c r="C219" s="59"/>
      <c r="D219" s="43"/>
      <c r="E219" s="44"/>
      <c r="F219" s="62"/>
      <c r="G219" s="62"/>
      <c r="Q219" s="82"/>
      <c r="R219" s="62"/>
    </row>
    <row r="220" spans="1:18" s="61" customFormat="1" x14ac:dyDescent="0.25">
      <c r="A220" s="42"/>
      <c r="B220" s="59"/>
      <c r="C220" s="59"/>
      <c r="D220" s="43"/>
      <c r="E220" s="44"/>
      <c r="F220" s="62"/>
      <c r="G220" s="62"/>
      <c r="Q220" s="82"/>
      <c r="R220" s="62"/>
    </row>
    <row r="221" spans="1:18" s="40" customFormat="1" x14ac:dyDescent="0.25">
      <c r="A221" s="42"/>
      <c r="B221" s="59"/>
      <c r="C221" s="59"/>
      <c r="D221" s="43"/>
      <c r="E221" s="44"/>
      <c r="F221" s="41"/>
      <c r="G221" s="41"/>
      <c r="Q221" s="80"/>
      <c r="R221" s="41"/>
    </row>
    <row r="222" spans="1:18" s="40" customFormat="1" ht="13" x14ac:dyDescent="0.25">
      <c r="A222" s="92" t="s">
        <v>147</v>
      </c>
      <c r="B222" s="59"/>
      <c r="C222" s="59"/>
      <c r="D222" s="43"/>
      <c r="E222" s="44"/>
      <c r="F222" s="41"/>
      <c r="G222" s="41"/>
      <c r="Q222" s="80"/>
      <c r="R222" s="41"/>
    </row>
    <row r="223" spans="1:18" s="68" customFormat="1" x14ac:dyDescent="0.25">
      <c r="A223" s="42" t="s">
        <v>268</v>
      </c>
      <c r="B223" s="59">
        <v>74000</v>
      </c>
      <c r="F223" s="67"/>
      <c r="G223" s="67"/>
      <c r="Q223" s="96"/>
      <c r="R223" s="67"/>
    </row>
    <row r="224" spans="1:18" s="68" customFormat="1" x14ac:dyDescent="0.25">
      <c r="A224" s="42" t="s">
        <v>269</v>
      </c>
      <c r="B224" s="59">
        <v>19000</v>
      </c>
      <c r="F224" s="67"/>
      <c r="G224" s="67"/>
      <c r="Q224" s="96"/>
      <c r="R224" s="67"/>
    </row>
    <row r="225" spans="1:20" s="106" customFormat="1" x14ac:dyDescent="0.25">
      <c r="A225" s="100" t="s">
        <v>270</v>
      </c>
      <c r="B225" s="71">
        <v>75000</v>
      </c>
      <c r="F225" s="107"/>
      <c r="G225" s="107"/>
      <c r="Q225" s="108"/>
      <c r="R225" s="107"/>
    </row>
    <row r="226" spans="1:20" x14ac:dyDescent="0.25">
      <c r="A226" s="42" t="s">
        <v>271</v>
      </c>
      <c r="B226" s="59">
        <v>9300</v>
      </c>
      <c r="F226" s="31"/>
      <c r="G226" s="31"/>
      <c r="Q226" s="97"/>
      <c r="R226" s="31"/>
      <c r="S226" s="18"/>
      <c r="T226" s="18"/>
    </row>
    <row r="227" spans="1:20" s="106" customFormat="1" x14ac:dyDescent="0.25">
      <c r="A227" s="100" t="s">
        <v>254</v>
      </c>
      <c r="B227" s="71">
        <v>35000</v>
      </c>
      <c r="F227" s="107"/>
      <c r="G227" s="107"/>
      <c r="Q227" s="108"/>
      <c r="R227" s="107"/>
    </row>
    <row r="228" spans="1:20" x14ac:dyDescent="0.25">
      <c r="A228" s="42"/>
      <c r="B228" s="59"/>
      <c r="F228" s="31"/>
      <c r="G228" s="31"/>
      <c r="Q228" s="97"/>
      <c r="R228" s="31"/>
      <c r="S228" s="18"/>
      <c r="T228" s="18"/>
    </row>
    <row r="229" spans="1:20" x14ac:dyDescent="0.25">
      <c r="A229" s="42"/>
      <c r="B229" s="59"/>
      <c r="F229" s="31"/>
      <c r="G229" s="31"/>
      <c r="Q229" s="97"/>
      <c r="R229" s="31"/>
      <c r="S229" s="18"/>
      <c r="T229" s="18"/>
    </row>
    <row r="230" spans="1:20" x14ac:dyDescent="0.25">
      <c r="A230" s="42"/>
      <c r="B230" s="59"/>
      <c r="F230" s="31"/>
      <c r="G230" s="31"/>
      <c r="Q230" s="97"/>
      <c r="R230" s="31"/>
      <c r="S230" s="18"/>
      <c r="T230" s="18"/>
    </row>
    <row r="231" spans="1:20" x14ac:dyDescent="0.25">
      <c r="A231" s="42"/>
      <c r="B231" s="59"/>
      <c r="F231" s="31"/>
      <c r="G231" s="31"/>
      <c r="Q231" s="97"/>
      <c r="R231" s="31"/>
      <c r="S231" s="18"/>
      <c r="T231" s="18"/>
    </row>
    <row r="232" spans="1:20" s="40" customFormat="1" x14ac:dyDescent="0.25">
      <c r="A232" s="42"/>
      <c r="B232" s="59"/>
      <c r="C232" s="59"/>
      <c r="D232" s="43"/>
      <c r="E232" s="44"/>
      <c r="F232" s="41"/>
      <c r="G232" s="41"/>
      <c r="Q232" s="80"/>
      <c r="R232" s="41"/>
    </row>
    <row r="233" spans="1:20" s="40" customFormat="1" ht="13" x14ac:dyDescent="0.25">
      <c r="A233" s="36" t="s">
        <v>272</v>
      </c>
      <c r="B233" s="59"/>
      <c r="C233" s="59"/>
      <c r="D233" s="43"/>
      <c r="E233" s="44"/>
      <c r="F233" s="41"/>
      <c r="G233" s="41"/>
      <c r="Q233" s="80"/>
      <c r="R233" s="41"/>
    </row>
    <row r="234" spans="1:20" s="46" customFormat="1" ht="25" x14ac:dyDescent="0.25">
      <c r="A234" s="45" t="s">
        <v>273</v>
      </c>
      <c r="B234" s="50"/>
      <c r="C234" s="69"/>
      <c r="D234" s="47"/>
      <c r="E234" s="48"/>
      <c r="F234" s="50"/>
      <c r="G234" s="50"/>
      <c r="Q234" s="81"/>
      <c r="R234" s="50">
        <v>200</v>
      </c>
    </row>
    <row r="235" spans="1:20" s="40" customFormat="1" x14ac:dyDescent="0.25">
      <c r="A235" s="42" t="s">
        <v>256</v>
      </c>
      <c r="B235" s="59">
        <v>1000</v>
      </c>
      <c r="C235" s="59"/>
      <c r="D235" s="43"/>
      <c r="E235" s="44"/>
      <c r="F235" s="41"/>
      <c r="G235" s="41"/>
      <c r="Q235" s="80"/>
      <c r="R235" s="41"/>
    </row>
    <row r="236" spans="1:20" s="40" customFormat="1" x14ac:dyDescent="0.25">
      <c r="A236" s="42" t="s">
        <v>274</v>
      </c>
      <c r="B236" s="59">
        <v>1000</v>
      </c>
      <c r="C236" s="59"/>
      <c r="D236" s="43"/>
      <c r="E236" s="44"/>
      <c r="F236" s="41"/>
      <c r="G236" s="41"/>
      <c r="Q236" s="80"/>
      <c r="R236" s="41"/>
    </row>
    <row r="237" spans="1:20" s="61" customFormat="1" ht="12" customHeight="1" x14ac:dyDescent="0.25">
      <c r="A237" s="42" t="s">
        <v>275</v>
      </c>
      <c r="B237" s="62">
        <v>1000</v>
      </c>
      <c r="C237" s="59"/>
      <c r="D237" s="43"/>
      <c r="E237" s="44"/>
      <c r="F237" s="62"/>
      <c r="G237" s="62"/>
      <c r="Q237" s="82"/>
      <c r="R237" s="62"/>
    </row>
    <row r="238" spans="1:20" s="61" customFormat="1" ht="25" x14ac:dyDescent="0.25">
      <c r="A238" s="42" t="s">
        <v>276</v>
      </c>
      <c r="B238" s="62">
        <v>190</v>
      </c>
      <c r="C238" s="59"/>
      <c r="D238" s="43"/>
      <c r="E238" s="44"/>
      <c r="F238" s="62"/>
      <c r="G238" s="62"/>
      <c r="Q238" s="82"/>
      <c r="R238" s="62"/>
    </row>
    <row r="239" spans="1:20" s="61" customFormat="1" x14ac:dyDescent="0.25">
      <c r="A239" s="42" t="s">
        <v>277</v>
      </c>
      <c r="B239" s="62">
        <v>700</v>
      </c>
      <c r="C239" s="59"/>
      <c r="D239" s="43"/>
      <c r="E239" s="44"/>
      <c r="F239" s="62"/>
      <c r="G239" s="62"/>
      <c r="Q239" s="82"/>
      <c r="R239" s="62"/>
    </row>
    <row r="240" spans="1:20" s="61" customFormat="1" x14ac:dyDescent="0.25">
      <c r="A240" s="42" t="s">
        <v>278</v>
      </c>
      <c r="B240" s="62">
        <v>900</v>
      </c>
      <c r="C240" s="59"/>
      <c r="D240" s="43"/>
      <c r="E240" s="44"/>
      <c r="F240" s="62"/>
      <c r="G240" s="62"/>
      <c r="Q240" s="82"/>
      <c r="R240" s="62"/>
    </row>
    <row r="241" spans="1:20" s="61" customFormat="1" x14ac:dyDescent="0.25">
      <c r="A241" s="42" t="s">
        <v>279</v>
      </c>
      <c r="B241" s="62">
        <v>4000</v>
      </c>
      <c r="C241" s="59"/>
      <c r="D241" s="43"/>
      <c r="E241" s="44"/>
      <c r="F241" s="62"/>
      <c r="G241" s="62"/>
      <c r="Q241" s="82"/>
      <c r="R241" s="62"/>
    </row>
    <row r="242" spans="1:20" s="61" customFormat="1" x14ac:dyDescent="0.25">
      <c r="A242" s="42" t="s">
        <v>280</v>
      </c>
      <c r="B242" s="62">
        <v>1000</v>
      </c>
      <c r="C242" s="59"/>
      <c r="D242" s="43"/>
      <c r="E242" s="44"/>
      <c r="F242" s="62"/>
      <c r="G242" s="62"/>
      <c r="Q242" s="82"/>
      <c r="R242" s="62"/>
    </row>
    <row r="243" spans="1:20" s="61" customFormat="1" x14ac:dyDescent="0.25">
      <c r="A243" s="42" t="s">
        <v>223</v>
      </c>
      <c r="B243" s="62">
        <v>700</v>
      </c>
      <c r="C243" s="59"/>
      <c r="D243" s="43"/>
      <c r="E243" s="44"/>
      <c r="F243" s="62"/>
      <c r="G243" s="62"/>
      <c r="Q243" s="82"/>
      <c r="R243" s="62"/>
    </row>
    <row r="244" spans="1:20" s="61" customFormat="1" x14ac:dyDescent="0.25">
      <c r="A244" s="42"/>
      <c r="B244" s="62"/>
      <c r="C244" s="59"/>
      <c r="D244" s="43"/>
      <c r="E244" s="44"/>
      <c r="F244" s="62"/>
      <c r="G244" s="62"/>
      <c r="Q244" s="82"/>
      <c r="R244" s="62"/>
    </row>
    <row r="245" spans="1:20" s="61" customFormat="1" x14ac:dyDescent="0.25">
      <c r="A245" s="42"/>
      <c r="B245" s="62"/>
      <c r="C245" s="59"/>
      <c r="D245" s="43"/>
      <c r="E245" s="44"/>
      <c r="F245" s="62"/>
      <c r="G245" s="62"/>
      <c r="Q245" s="82"/>
      <c r="R245" s="62"/>
    </row>
    <row r="246" spans="1:20" x14ac:dyDescent="0.25">
      <c r="F246" s="31"/>
      <c r="G246" s="31"/>
      <c r="Q246" s="97"/>
      <c r="R246" s="31"/>
      <c r="S246" s="18"/>
      <c r="T246" s="18"/>
    </row>
    <row r="247" spans="1:20" s="40" customFormat="1" ht="13" x14ac:dyDescent="0.25">
      <c r="A247" s="51"/>
      <c r="B247" s="52">
        <f>SUM(B195:B246)</f>
        <v>442590</v>
      </c>
      <c r="C247" s="52">
        <f>SUM(C195:C246)</f>
        <v>0</v>
      </c>
      <c r="D247" s="52">
        <f>SUM(D195:D246)</f>
        <v>0</v>
      </c>
      <c r="E247" s="53">
        <f>B247+D247</f>
        <v>442590</v>
      </c>
      <c r="F247" s="52">
        <f>E247*E248</f>
        <v>221295</v>
      </c>
      <c r="G247" s="52">
        <f>SUM(G195:G246)</f>
        <v>0</v>
      </c>
      <c r="P247" s="84">
        <f>E247*E248</f>
        <v>221295</v>
      </c>
      <c r="Q247" s="80"/>
      <c r="R247" s="52">
        <f>SUM(R195:R246)</f>
        <v>200</v>
      </c>
    </row>
    <row r="248" spans="1:20" s="40" customFormat="1" ht="13" x14ac:dyDescent="0.25">
      <c r="A248" s="51"/>
      <c r="B248" s="58"/>
      <c r="C248" s="58"/>
      <c r="D248" s="58"/>
      <c r="E248" s="54">
        <v>0.5</v>
      </c>
      <c r="F248" s="41"/>
      <c r="G248" s="41"/>
      <c r="Q248" s="80"/>
      <c r="R248" s="41"/>
    </row>
    <row r="249" spans="1:20" s="40" customFormat="1" ht="13" x14ac:dyDescent="0.25">
      <c r="A249" s="36" t="s">
        <v>110</v>
      </c>
      <c r="B249" s="43"/>
      <c r="C249" s="59"/>
      <c r="D249" s="43"/>
      <c r="E249" s="44"/>
      <c r="F249" s="41"/>
      <c r="G249" s="41"/>
      <c r="Q249" s="80"/>
      <c r="R249" s="41"/>
    </row>
    <row r="250" spans="1:20" s="40" customFormat="1" ht="13" x14ac:dyDescent="0.25">
      <c r="A250" s="36" t="s">
        <v>206</v>
      </c>
      <c r="B250" s="43"/>
      <c r="C250" s="59"/>
      <c r="D250" s="43"/>
      <c r="E250" s="44"/>
      <c r="F250" s="41"/>
      <c r="G250" s="41"/>
      <c r="Q250" s="80"/>
      <c r="R250" s="41"/>
    </row>
    <row r="251" spans="1:20" s="40" customFormat="1" x14ac:dyDescent="0.25">
      <c r="A251" s="42" t="s">
        <v>111</v>
      </c>
      <c r="B251" s="43">
        <v>4000</v>
      </c>
      <c r="C251" s="59"/>
      <c r="D251" s="59">
        <f>C251*9700/1000000</f>
        <v>0</v>
      </c>
      <c r="E251" s="44"/>
      <c r="F251" s="41"/>
      <c r="G251" s="41"/>
      <c r="Q251" s="80"/>
      <c r="R251" s="41"/>
    </row>
    <row r="252" spans="1:20" s="61" customFormat="1" x14ac:dyDescent="0.25">
      <c r="A252" s="42" t="s">
        <v>281</v>
      </c>
      <c r="B252" s="43">
        <v>2000</v>
      </c>
      <c r="C252" s="59"/>
      <c r="D252" s="59"/>
      <c r="E252" s="44"/>
      <c r="F252" s="62"/>
      <c r="G252" s="62"/>
      <c r="Q252" s="82"/>
      <c r="R252" s="43"/>
    </row>
    <row r="253" spans="1:20" s="61" customFormat="1" x14ac:dyDescent="0.25">
      <c r="A253" s="42" t="s">
        <v>282</v>
      </c>
      <c r="B253" s="62">
        <v>2000</v>
      </c>
      <c r="C253" s="59"/>
      <c r="D253" s="59"/>
      <c r="E253" s="44"/>
      <c r="F253" s="62"/>
      <c r="G253" s="62"/>
      <c r="Q253" s="82"/>
      <c r="R253" s="62"/>
    </row>
    <row r="254" spans="1:20" s="61" customFormat="1" x14ac:dyDescent="0.25">
      <c r="A254" s="42" t="s">
        <v>283</v>
      </c>
      <c r="B254" s="62">
        <v>1500</v>
      </c>
      <c r="C254" s="59"/>
      <c r="D254" s="59"/>
      <c r="E254" s="44"/>
      <c r="F254" s="62"/>
      <c r="G254" s="62"/>
      <c r="Q254" s="82"/>
      <c r="R254" s="62"/>
    </row>
    <row r="255" spans="1:20" s="61" customFormat="1" x14ac:dyDescent="0.25">
      <c r="A255" s="42" t="s">
        <v>284</v>
      </c>
      <c r="B255" s="62">
        <v>2500</v>
      </c>
      <c r="C255" s="59"/>
      <c r="D255" s="59"/>
      <c r="E255" s="44"/>
      <c r="F255" s="62"/>
      <c r="G255" s="62"/>
      <c r="Q255" s="82"/>
      <c r="R255" s="62"/>
    </row>
    <row r="256" spans="1:20" s="61" customFormat="1" x14ac:dyDescent="0.25">
      <c r="A256" s="42" t="s">
        <v>285</v>
      </c>
      <c r="B256" s="62">
        <v>7000</v>
      </c>
      <c r="C256" s="59"/>
      <c r="D256" s="59"/>
      <c r="E256" s="44"/>
      <c r="F256" s="62"/>
      <c r="G256" s="62"/>
      <c r="Q256" s="82"/>
      <c r="R256" s="62"/>
    </row>
    <row r="257" spans="1:18" s="61" customFormat="1" x14ac:dyDescent="0.25">
      <c r="A257" s="42" t="s">
        <v>286</v>
      </c>
      <c r="B257" s="62">
        <v>210</v>
      </c>
      <c r="C257" s="59"/>
      <c r="D257" s="59"/>
      <c r="E257" s="44"/>
      <c r="F257" s="62"/>
      <c r="G257" s="62"/>
      <c r="Q257" s="82"/>
      <c r="R257" s="62"/>
    </row>
    <row r="258" spans="1:18" s="61" customFormat="1" x14ac:dyDescent="0.25">
      <c r="A258" s="42" t="s">
        <v>287</v>
      </c>
      <c r="B258" s="62">
        <v>1700</v>
      </c>
      <c r="C258" s="59"/>
      <c r="D258" s="59"/>
      <c r="E258" s="44"/>
      <c r="F258" s="62"/>
      <c r="G258" s="62"/>
      <c r="Q258" s="82"/>
      <c r="R258" s="62"/>
    </row>
    <row r="259" spans="1:18" s="61" customFormat="1" x14ac:dyDescent="0.25">
      <c r="A259" s="42" t="s">
        <v>288</v>
      </c>
      <c r="B259" s="62">
        <v>1000</v>
      </c>
      <c r="C259" s="59"/>
      <c r="D259" s="59"/>
      <c r="E259" s="44"/>
      <c r="F259" s="62"/>
      <c r="G259" s="62"/>
      <c r="Q259" s="82"/>
      <c r="R259" s="62"/>
    </row>
    <row r="260" spans="1:18" s="61" customFormat="1" x14ac:dyDescent="0.25">
      <c r="A260" s="42" t="s">
        <v>289</v>
      </c>
      <c r="B260" s="62">
        <v>3000</v>
      </c>
      <c r="C260" s="59"/>
      <c r="D260" s="59"/>
      <c r="E260" s="44"/>
      <c r="F260" s="62"/>
      <c r="G260" s="62"/>
      <c r="Q260" s="82"/>
      <c r="R260" s="62"/>
    </row>
    <row r="261" spans="1:18" s="61" customFormat="1" x14ac:dyDescent="0.25">
      <c r="A261" s="42" t="s">
        <v>290</v>
      </c>
      <c r="B261" s="62">
        <v>4000</v>
      </c>
      <c r="C261" s="59"/>
      <c r="D261" s="59"/>
      <c r="E261" s="44"/>
      <c r="F261" s="62"/>
      <c r="G261" s="62"/>
      <c r="Q261" s="82"/>
      <c r="R261" s="62"/>
    </row>
    <row r="262" spans="1:18" s="61" customFormat="1" x14ac:dyDescent="0.25">
      <c r="A262" s="42" t="s">
        <v>291</v>
      </c>
      <c r="B262" s="62">
        <v>400</v>
      </c>
      <c r="C262" s="59"/>
      <c r="D262" s="59"/>
      <c r="E262" s="44"/>
      <c r="F262" s="62"/>
      <c r="G262" s="62"/>
      <c r="Q262" s="82"/>
      <c r="R262" s="62"/>
    </row>
    <row r="263" spans="1:18" s="61" customFormat="1" x14ac:dyDescent="0.25">
      <c r="A263" s="42"/>
      <c r="B263" s="62"/>
      <c r="C263" s="59"/>
      <c r="D263" s="59"/>
      <c r="E263" s="44"/>
      <c r="F263" s="62"/>
      <c r="G263" s="62"/>
      <c r="Q263" s="82"/>
      <c r="R263" s="62"/>
    </row>
    <row r="264" spans="1:18" s="61" customFormat="1" x14ac:dyDescent="0.25">
      <c r="A264" s="42"/>
      <c r="B264" s="62"/>
      <c r="C264" s="59"/>
      <c r="D264" s="59"/>
      <c r="E264" s="44"/>
      <c r="F264" s="62"/>
      <c r="G264" s="62"/>
      <c r="Q264" s="82"/>
      <c r="R264" s="62"/>
    </row>
    <row r="265" spans="1:18" s="61" customFormat="1" x14ac:dyDescent="0.25">
      <c r="A265" s="42"/>
      <c r="B265" s="62"/>
      <c r="C265" s="59"/>
      <c r="D265" s="59"/>
      <c r="E265" s="44"/>
      <c r="F265" s="62"/>
      <c r="G265" s="62"/>
      <c r="Q265" s="82"/>
      <c r="R265" s="62"/>
    </row>
    <row r="266" spans="1:18" s="61" customFormat="1" ht="13" x14ac:dyDescent="0.25">
      <c r="A266" s="36" t="s">
        <v>272</v>
      </c>
      <c r="B266" s="62"/>
      <c r="C266" s="59"/>
      <c r="D266" s="59"/>
      <c r="E266" s="44"/>
      <c r="F266" s="62"/>
      <c r="G266" s="62"/>
      <c r="Q266" s="82"/>
      <c r="R266" s="62"/>
    </row>
    <row r="267" spans="1:18" s="61" customFormat="1" x14ac:dyDescent="0.25">
      <c r="A267" s="42" t="s">
        <v>292</v>
      </c>
      <c r="B267" s="62">
        <v>300</v>
      </c>
      <c r="C267" s="59"/>
      <c r="D267" s="59"/>
      <c r="E267" s="44"/>
      <c r="F267" s="62"/>
      <c r="G267" s="62"/>
      <c r="Q267" s="82"/>
      <c r="R267" s="62"/>
    </row>
    <row r="268" spans="1:18" s="61" customFormat="1" x14ac:dyDescent="0.25">
      <c r="A268" s="42" t="s">
        <v>293</v>
      </c>
      <c r="B268" s="62">
        <v>300</v>
      </c>
      <c r="C268" s="59"/>
      <c r="D268" s="59"/>
      <c r="E268" s="44"/>
      <c r="F268" s="62"/>
      <c r="G268" s="62"/>
      <c r="Q268" s="82"/>
      <c r="R268" s="62"/>
    </row>
    <row r="269" spans="1:18" s="61" customFormat="1" x14ac:dyDescent="0.25">
      <c r="A269" s="42" t="s">
        <v>294</v>
      </c>
      <c r="B269" s="62">
        <v>100</v>
      </c>
      <c r="C269" s="59"/>
      <c r="D269" s="59"/>
      <c r="E269" s="44"/>
      <c r="F269" s="62"/>
      <c r="G269" s="62"/>
      <c r="Q269" s="82"/>
      <c r="R269" s="62"/>
    </row>
    <row r="270" spans="1:18" s="61" customFormat="1" x14ac:dyDescent="0.25">
      <c r="A270" s="42" t="s">
        <v>295</v>
      </c>
      <c r="B270" s="62">
        <v>1400</v>
      </c>
      <c r="C270" s="59"/>
      <c r="D270" s="59"/>
      <c r="E270" s="44"/>
      <c r="F270" s="62"/>
      <c r="G270" s="62"/>
      <c r="Q270" s="82"/>
      <c r="R270" s="62"/>
    </row>
    <row r="271" spans="1:18" s="61" customFormat="1" x14ac:dyDescent="0.25">
      <c r="A271" s="42" t="s">
        <v>296</v>
      </c>
      <c r="B271" s="62">
        <v>700</v>
      </c>
      <c r="C271" s="59"/>
      <c r="D271" s="59"/>
      <c r="E271" s="44"/>
      <c r="F271" s="62"/>
      <c r="G271" s="62"/>
      <c r="Q271" s="82"/>
      <c r="R271" s="62"/>
    </row>
    <row r="272" spans="1:18" s="61" customFormat="1" x14ac:dyDescent="0.25">
      <c r="A272" s="42" t="s">
        <v>297</v>
      </c>
      <c r="B272" s="62">
        <v>1000</v>
      </c>
      <c r="C272" s="59"/>
      <c r="D272" s="59"/>
      <c r="E272" s="44"/>
      <c r="F272" s="62"/>
      <c r="G272" s="62"/>
      <c r="Q272" s="82"/>
      <c r="R272" s="62"/>
    </row>
    <row r="273" spans="1:18" s="61" customFormat="1" x14ac:dyDescent="0.25">
      <c r="A273" s="42" t="s">
        <v>298</v>
      </c>
      <c r="B273" s="62">
        <v>1000</v>
      </c>
      <c r="C273" s="59"/>
      <c r="D273" s="59"/>
      <c r="E273" s="44"/>
      <c r="F273" s="62"/>
      <c r="G273" s="62"/>
      <c r="Q273" s="82"/>
      <c r="R273" s="62"/>
    </row>
    <row r="274" spans="1:18" s="61" customFormat="1" x14ac:dyDescent="0.25">
      <c r="A274" s="42" t="s">
        <v>299</v>
      </c>
      <c r="B274" s="62">
        <v>75</v>
      </c>
      <c r="C274" s="59"/>
      <c r="D274" s="59"/>
      <c r="E274" s="44"/>
      <c r="F274" s="62"/>
      <c r="G274" s="62"/>
      <c r="Q274" s="82"/>
      <c r="R274" s="62"/>
    </row>
    <row r="275" spans="1:18" s="61" customFormat="1" x14ac:dyDescent="0.25">
      <c r="A275" s="42" t="s">
        <v>300</v>
      </c>
      <c r="B275" s="62">
        <v>100</v>
      </c>
      <c r="C275" s="59"/>
      <c r="D275" s="59"/>
      <c r="E275" s="44"/>
      <c r="F275" s="62"/>
      <c r="G275" s="62"/>
      <c r="Q275" s="82"/>
      <c r="R275" s="62"/>
    </row>
    <row r="276" spans="1:18" s="61" customFormat="1" x14ac:dyDescent="0.25">
      <c r="A276" s="42" t="s">
        <v>301</v>
      </c>
      <c r="B276" s="62">
        <v>75</v>
      </c>
      <c r="C276" s="59"/>
      <c r="D276" s="59"/>
      <c r="E276" s="44"/>
      <c r="F276" s="62"/>
      <c r="G276" s="62"/>
      <c r="Q276" s="82"/>
      <c r="R276" s="62"/>
    </row>
    <row r="277" spans="1:18" s="61" customFormat="1" x14ac:dyDescent="0.25">
      <c r="A277" s="42"/>
      <c r="B277" s="43"/>
      <c r="C277" s="59"/>
      <c r="D277" s="59"/>
      <c r="E277" s="44"/>
      <c r="F277" s="62"/>
      <c r="G277" s="62"/>
      <c r="Q277" s="82"/>
      <c r="R277" s="62"/>
    </row>
    <row r="278" spans="1:18" s="61" customFormat="1" x14ac:dyDescent="0.25">
      <c r="A278" s="42"/>
      <c r="B278" s="43"/>
      <c r="C278" s="59"/>
      <c r="D278" s="59"/>
      <c r="E278" s="44"/>
      <c r="F278" s="62"/>
      <c r="G278" s="62"/>
      <c r="Q278" s="82"/>
      <c r="R278" s="62"/>
    </row>
    <row r="279" spans="1:18" s="40" customFormat="1" x14ac:dyDescent="0.25">
      <c r="A279" s="42"/>
      <c r="B279" s="43"/>
      <c r="C279" s="59"/>
      <c r="D279" s="43"/>
      <c r="E279" s="44"/>
      <c r="F279" s="41"/>
      <c r="G279" s="41"/>
      <c r="Q279" s="80"/>
      <c r="R279" s="41"/>
    </row>
    <row r="280" spans="1:18" s="40" customFormat="1" ht="13" x14ac:dyDescent="0.25">
      <c r="A280" s="51"/>
      <c r="B280" s="52">
        <f>SUM(B251:B279)</f>
        <v>34360</v>
      </c>
      <c r="C280" s="52">
        <f>SUM(C251:C279)</f>
        <v>0</v>
      </c>
      <c r="D280" s="52">
        <f>SUM(D251:D279)</f>
        <v>0</v>
      </c>
      <c r="E280" s="53">
        <f>B280+D280</f>
        <v>34360</v>
      </c>
      <c r="F280" s="52">
        <f>E280*E281</f>
        <v>25770</v>
      </c>
      <c r="G280" s="52">
        <f>SUM(G251:G279)</f>
        <v>0</v>
      </c>
      <c r="H280" s="53"/>
      <c r="P280" s="84">
        <f>E280*E281</f>
        <v>25770</v>
      </c>
      <c r="Q280" s="80"/>
      <c r="R280" s="52">
        <f>SUM(R251:R279)</f>
        <v>0</v>
      </c>
    </row>
    <row r="281" spans="1:18" s="40" customFormat="1" ht="13" x14ac:dyDescent="0.25">
      <c r="A281" s="51"/>
      <c r="B281" s="58"/>
      <c r="C281" s="58"/>
      <c r="D281" s="58"/>
      <c r="E281" s="54">
        <v>0.75</v>
      </c>
      <c r="F281" s="41"/>
      <c r="G281" s="41"/>
      <c r="Q281" s="80"/>
      <c r="R281" s="41"/>
    </row>
    <row r="282" spans="1:18" s="40" customFormat="1" ht="13" x14ac:dyDescent="0.25">
      <c r="A282" s="36" t="s">
        <v>126</v>
      </c>
      <c r="B282" s="58"/>
      <c r="C282" s="58"/>
      <c r="D282" s="58"/>
      <c r="E282" s="55"/>
      <c r="F282" s="41"/>
      <c r="G282" s="41"/>
      <c r="Q282" s="80"/>
      <c r="R282" s="41"/>
    </row>
    <row r="283" spans="1:18" s="40" customFormat="1" ht="13" x14ac:dyDescent="0.25">
      <c r="A283" s="36" t="s">
        <v>206</v>
      </c>
      <c r="B283" s="58"/>
      <c r="C283" s="58"/>
      <c r="D283" s="58"/>
      <c r="E283" s="55"/>
      <c r="F283" s="41"/>
      <c r="G283" s="41"/>
      <c r="Q283" s="80"/>
      <c r="R283" s="41"/>
    </row>
    <row r="284" spans="1:18" s="40" customFormat="1" ht="13" x14ac:dyDescent="0.25">
      <c r="A284" s="42" t="s">
        <v>302</v>
      </c>
      <c r="B284" s="43">
        <v>21000</v>
      </c>
      <c r="C284" s="43"/>
      <c r="D284" s="43">
        <f t="shared" ref="D284:D314" si="14">C284*13000/1000000</f>
        <v>0</v>
      </c>
      <c r="E284" s="55"/>
      <c r="F284" s="41"/>
      <c r="G284" s="41"/>
      <c r="Q284" s="80"/>
      <c r="R284" s="41"/>
    </row>
    <row r="285" spans="1:18" s="40" customFormat="1" ht="13" x14ac:dyDescent="0.25">
      <c r="A285" s="42" t="s">
        <v>303</v>
      </c>
      <c r="B285" s="43">
        <v>3000</v>
      </c>
      <c r="C285" s="43"/>
      <c r="D285" s="43">
        <f t="shared" si="14"/>
        <v>0</v>
      </c>
      <c r="E285" s="55"/>
      <c r="F285" s="41"/>
      <c r="G285" s="41"/>
      <c r="Q285" s="80"/>
      <c r="R285" s="41">
        <v>1000</v>
      </c>
    </row>
    <row r="286" spans="1:18" s="40" customFormat="1" ht="13" x14ac:dyDescent="0.25">
      <c r="A286" s="42" t="s">
        <v>304</v>
      </c>
      <c r="B286" s="43">
        <v>7000</v>
      </c>
      <c r="C286" s="43"/>
      <c r="D286" s="43">
        <f t="shared" si="14"/>
        <v>0</v>
      </c>
      <c r="E286" s="55"/>
      <c r="F286" s="41"/>
      <c r="G286" s="41"/>
      <c r="Q286" s="80"/>
      <c r="R286" s="41"/>
    </row>
    <row r="287" spans="1:18" s="40" customFormat="1" ht="13" x14ac:dyDescent="0.25">
      <c r="A287" s="42" t="s">
        <v>305</v>
      </c>
      <c r="B287" s="43">
        <v>22000</v>
      </c>
      <c r="C287" s="43"/>
      <c r="D287" s="43">
        <f t="shared" si="14"/>
        <v>0</v>
      </c>
      <c r="E287" s="55"/>
      <c r="F287" s="41"/>
      <c r="G287" s="41"/>
      <c r="Q287" s="80"/>
      <c r="R287" s="41"/>
    </row>
    <row r="288" spans="1:18" s="40" customFormat="1" ht="13" x14ac:dyDescent="0.25">
      <c r="A288" s="42" t="s">
        <v>306</v>
      </c>
      <c r="B288" s="43">
        <v>450</v>
      </c>
      <c r="C288" s="43"/>
      <c r="D288" s="43">
        <f t="shared" si="14"/>
        <v>0</v>
      </c>
      <c r="E288" s="55"/>
      <c r="F288" s="41"/>
      <c r="G288" s="41"/>
      <c r="Q288" s="80"/>
      <c r="R288" s="41"/>
    </row>
    <row r="289" spans="1:18" s="46" customFormat="1" ht="13" x14ac:dyDescent="0.25">
      <c r="A289" s="45" t="s">
        <v>307</v>
      </c>
      <c r="B289" s="47"/>
      <c r="C289" s="47"/>
      <c r="D289" s="47">
        <f t="shared" si="14"/>
        <v>0</v>
      </c>
      <c r="E289" s="109"/>
      <c r="F289" s="50"/>
      <c r="G289" s="50"/>
      <c r="Q289" s="81"/>
      <c r="R289" s="50">
        <v>250</v>
      </c>
    </row>
    <row r="290" spans="1:18" s="46" customFormat="1" ht="13" x14ac:dyDescent="0.25">
      <c r="A290" s="45" t="s">
        <v>307</v>
      </c>
      <c r="B290" s="47"/>
      <c r="C290" s="47"/>
      <c r="D290" s="47">
        <f t="shared" si="14"/>
        <v>0</v>
      </c>
      <c r="E290" s="109"/>
      <c r="F290" s="50"/>
      <c r="G290" s="50"/>
      <c r="Q290" s="81"/>
      <c r="R290" s="50">
        <v>500</v>
      </c>
    </row>
    <row r="291" spans="1:18" s="46" customFormat="1" ht="25" x14ac:dyDescent="0.25">
      <c r="A291" s="45" t="s">
        <v>308</v>
      </c>
      <c r="B291" s="47"/>
      <c r="C291" s="47"/>
      <c r="D291" s="47"/>
      <c r="E291" s="109"/>
      <c r="F291" s="50"/>
      <c r="G291" s="50"/>
      <c r="Q291" s="81"/>
      <c r="R291" s="50">
        <v>60</v>
      </c>
    </row>
    <row r="292" spans="1:18" s="40" customFormat="1" ht="25" x14ac:dyDescent="0.25">
      <c r="A292" s="42" t="s">
        <v>309</v>
      </c>
      <c r="B292" s="43">
        <v>2500</v>
      </c>
      <c r="C292" s="43"/>
      <c r="D292" s="43">
        <f t="shared" si="14"/>
        <v>0</v>
      </c>
      <c r="E292" s="55"/>
      <c r="F292" s="41"/>
      <c r="G292" s="41"/>
      <c r="Q292" s="80"/>
      <c r="R292" s="41"/>
    </row>
    <row r="293" spans="1:18" s="40" customFormat="1" ht="13" x14ac:dyDescent="0.25">
      <c r="A293" s="42" t="s">
        <v>310</v>
      </c>
      <c r="B293" s="43">
        <v>1200</v>
      </c>
      <c r="C293" s="43"/>
      <c r="D293" s="43">
        <f t="shared" si="14"/>
        <v>0</v>
      </c>
      <c r="E293" s="55"/>
      <c r="F293" s="41"/>
      <c r="G293" s="41"/>
      <c r="Q293" s="80"/>
      <c r="R293" s="41"/>
    </row>
    <row r="294" spans="1:18" s="40" customFormat="1" ht="13" x14ac:dyDescent="0.25">
      <c r="A294" s="42" t="s">
        <v>311</v>
      </c>
      <c r="B294" s="43">
        <v>1300</v>
      </c>
      <c r="C294" s="43"/>
      <c r="D294" s="43">
        <f t="shared" si="14"/>
        <v>0</v>
      </c>
      <c r="E294" s="55"/>
      <c r="F294" s="41"/>
      <c r="G294" s="41"/>
      <c r="Q294" s="80"/>
      <c r="R294" s="41"/>
    </row>
    <row r="295" spans="1:18" s="40" customFormat="1" ht="13" x14ac:dyDescent="0.25">
      <c r="A295" s="42" t="s">
        <v>312</v>
      </c>
      <c r="B295" s="43">
        <v>1000</v>
      </c>
      <c r="C295" s="43"/>
      <c r="D295" s="43">
        <f t="shared" si="14"/>
        <v>0</v>
      </c>
      <c r="E295" s="55"/>
      <c r="F295" s="41"/>
      <c r="G295" s="41"/>
      <c r="Q295" s="80"/>
      <c r="R295" s="41"/>
    </row>
    <row r="296" spans="1:18" s="40" customFormat="1" ht="13" x14ac:dyDescent="0.25">
      <c r="A296" s="42" t="s">
        <v>313</v>
      </c>
      <c r="B296" s="43">
        <v>1000</v>
      </c>
      <c r="C296" s="43"/>
      <c r="D296" s="43">
        <f t="shared" si="14"/>
        <v>0</v>
      </c>
      <c r="E296" s="55"/>
      <c r="F296" s="41"/>
      <c r="G296" s="41"/>
      <c r="Q296" s="80"/>
      <c r="R296" s="41"/>
    </row>
    <row r="297" spans="1:18" s="40" customFormat="1" ht="13" x14ac:dyDescent="0.25">
      <c r="A297" s="42" t="s">
        <v>314</v>
      </c>
      <c r="B297" s="43">
        <v>6000</v>
      </c>
      <c r="C297" s="43"/>
      <c r="D297" s="43">
        <f t="shared" si="14"/>
        <v>0</v>
      </c>
      <c r="E297" s="55"/>
      <c r="F297" s="41"/>
      <c r="G297" s="41"/>
      <c r="Q297" s="80"/>
      <c r="R297" s="41"/>
    </row>
    <row r="298" spans="1:18" s="40" customFormat="1" ht="13" x14ac:dyDescent="0.25">
      <c r="A298" s="42" t="s">
        <v>315</v>
      </c>
      <c r="B298" s="43">
        <v>2000</v>
      </c>
      <c r="C298" s="43"/>
      <c r="D298" s="43">
        <f t="shared" si="14"/>
        <v>0</v>
      </c>
      <c r="E298" s="55"/>
      <c r="F298" s="41"/>
      <c r="G298" s="41"/>
      <c r="Q298" s="80"/>
      <c r="R298" s="41"/>
    </row>
    <row r="299" spans="1:18" s="40" customFormat="1" ht="25" x14ac:dyDescent="0.25">
      <c r="A299" s="42" t="s">
        <v>316</v>
      </c>
      <c r="B299" s="43">
        <v>16000</v>
      </c>
      <c r="C299" s="43"/>
      <c r="D299" s="43">
        <f t="shared" si="14"/>
        <v>0</v>
      </c>
      <c r="E299" s="55"/>
      <c r="F299" s="41"/>
      <c r="G299" s="41"/>
      <c r="Q299" s="80"/>
      <c r="R299" s="41"/>
    </row>
    <row r="300" spans="1:18" s="40" customFormat="1" ht="13" x14ac:dyDescent="0.25">
      <c r="A300" s="42" t="s">
        <v>317</v>
      </c>
      <c r="B300" s="43">
        <v>5000</v>
      </c>
      <c r="C300" s="43"/>
      <c r="D300" s="43">
        <f t="shared" si="14"/>
        <v>0</v>
      </c>
      <c r="E300" s="55"/>
      <c r="F300" s="41"/>
      <c r="G300" s="41"/>
      <c r="Q300" s="80"/>
      <c r="R300" s="41"/>
    </row>
    <row r="301" spans="1:18" s="40" customFormat="1" ht="13" x14ac:dyDescent="0.25">
      <c r="A301" s="42" t="s">
        <v>318</v>
      </c>
      <c r="B301" s="43">
        <v>2000</v>
      </c>
      <c r="C301" s="43"/>
      <c r="D301" s="43">
        <f t="shared" si="14"/>
        <v>0</v>
      </c>
      <c r="E301" s="55"/>
      <c r="F301" s="41"/>
      <c r="G301" s="41"/>
      <c r="Q301" s="80"/>
      <c r="R301" s="41"/>
    </row>
    <row r="302" spans="1:18" s="40" customFormat="1" ht="13" x14ac:dyDescent="0.25">
      <c r="A302" s="42" t="s">
        <v>319</v>
      </c>
      <c r="B302" s="43">
        <v>2300</v>
      </c>
      <c r="C302" s="43"/>
      <c r="D302" s="43">
        <f t="shared" si="14"/>
        <v>0</v>
      </c>
      <c r="E302" s="55"/>
      <c r="F302" s="41"/>
      <c r="G302" s="41"/>
      <c r="Q302" s="80"/>
      <c r="R302" s="41"/>
    </row>
    <row r="303" spans="1:18" s="40" customFormat="1" ht="13" x14ac:dyDescent="0.25">
      <c r="A303" s="42" t="s">
        <v>320</v>
      </c>
      <c r="B303" s="43">
        <v>2000</v>
      </c>
      <c r="C303" s="43"/>
      <c r="D303" s="43">
        <f t="shared" si="14"/>
        <v>0</v>
      </c>
      <c r="E303" s="55"/>
      <c r="F303" s="41"/>
      <c r="G303" s="41"/>
      <c r="Q303" s="80"/>
      <c r="R303" s="41"/>
    </row>
    <row r="304" spans="1:18" s="40" customFormat="1" ht="13" x14ac:dyDescent="0.25">
      <c r="A304" s="42"/>
      <c r="B304" s="43"/>
      <c r="C304" s="43"/>
      <c r="D304" s="43">
        <f t="shared" si="14"/>
        <v>0</v>
      </c>
      <c r="E304" s="55"/>
      <c r="F304" s="41"/>
      <c r="G304" s="41"/>
      <c r="Q304" s="80"/>
      <c r="R304" s="41"/>
    </row>
    <row r="305" spans="1:20" s="40" customFormat="1" ht="13" x14ac:dyDescent="0.25">
      <c r="A305" s="42"/>
      <c r="B305" s="43"/>
      <c r="C305" s="43"/>
      <c r="D305" s="43">
        <f t="shared" si="14"/>
        <v>0</v>
      </c>
      <c r="E305" s="55"/>
      <c r="F305" s="41"/>
      <c r="G305" s="41"/>
      <c r="Q305" s="80"/>
      <c r="R305" s="41"/>
    </row>
    <row r="306" spans="1:20" s="40" customFormat="1" ht="13" x14ac:dyDescent="0.25">
      <c r="A306" s="42"/>
      <c r="B306" s="43"/>
      <c r="C306" s="43"/>
      <c r="D306" s="43">
        <f t="shared" si="14"/>
        <v>0</v>
      </c>
      <c r="E306" s="55"/>
      <c r="F306" s="41"/>
      <c r="G306" s="41"/>
      <c r="Q306" s="80"/>
      <c r="R306" s="41"/>
    </row>
    <row r="307" spans="1:20" s="40" customFormat="1" ht="13" x14ac:dyDescent="0.25">
      <c r="A307" s="36" t="s">
        <v>67</v>
      </c>
      <c r="B307" s="43"/>
      <c r="C307" s="43"/>
      <c r="D307" s="43"/>
      <c r="E307" s="55"/>
      <c r="F307" s="41"/>
      <c r="G307" s="41"/>
      <c r="Q307" s="80"/>
      <c r="R307" s="41"/>
    </row>
    <row r="308" spans="1:20" s="46" customFormat="1" ht="13" x14ac:dyDescent="0.25">
      <c r="A308" s="45" t="s">
        <v>321</v>
      </c>
      <c r="B308" s="47"/>
      <c r="C308" s="47"/>
      <c r="D308" s="47">
        <f>C308*13000/1000000</f>
        <v>0</v>
      </c>
      <c r="E308" s="109"/>
      <c r="F308" s="50"/>
      <c r="G308" s="50"/>
      <c r="Q308" s="81"/>
      <c r="R308" s="50">
        <v>200</v>
      </c>
    </row>
    <row r="309" spans="1:20" s="46" customFormat="1" ht="13" x14ac:dyDescent="0.25">
      <c r="A309" s="45" t="s">
        <v>322</v>
      </c>
      <c r="B309" s="47"/>
      <c r="C309" s="47"/>
      <c r="D309" s="47">
        <f>C309*13000/1000000</f>
        <v>0</v>
      </c>
      <c r="E309" s="109"/>
      <c r="F309" s="50"/>
      <c r="G309" s="50"/>
      <c r="Q309" s="81"/>
      <c r="R309" s="50">
        <v>40</v>
      </c>
    </row>
    <row r="310" spans="1:20" s="40" customFormat="1" ht="13" x14ac:dyDescent="0.25">
      <c r="A310" s="42"/>
      <c r="B310" s="43"/>
      <c r="C310" s="43"/>
      <c r="D310" s="43">
        <f t="shared" si="14"/>
        <v>0</v>
      </c>
      <c r="E310" s="55"/>
      <c r="F310" s="41"/>
      <c r="G310" s="41"/>
      <c r="Q310" s="80"/>
      <c r="R310" s="41"/>
    </row>
    <row r="311" spans="1:20" s="40" customFormat="1" ht="13" x14ac:dyDescent="0.25">
      <c r="A311" s="42"/>
      <c r="B311" s="43"/>
      <c r="C311" s="43"/>
      <c r="D311" s="43">
        <f t="shared" si="14"/>
        <v>0</v>
      </c>
      <c r="E311" s="55"/>
      <c r="F311" s="41"/>
      <c r="G311" s="41"/>
      <c r="Q311" s="80"/>
      <c r="R311" s="41"/>
    </row>
    <row r="312" spans="1:20" s="40" customFormat="1" ht="13" x14ac:dyDescent="0.25">
      <c r="A312" s="42"/>
      <c r="B312" s="43"/>
      <c r="C312" s="43"/>
      <c r="D312" s="43">
        <f t="shared" si="14"/>
        <v>0</v>
      </c>
      <c r="E312" s="55"/>
      <c r="F312" s="41"/>
      <c r="G312" s="41"/>
      <c r="Q312" s="80"/>
      <c r="R312" s="41"/>
    </row>
    <row r="313" spans="1:20" s="40" customFormat="1" ht="13" x14ac:dyDescent="0.25">
      <c r="A313" s="42"/>
      <c r="B313" s="43"/>
      <c r="C313" s="43"/>
      <c r="D313" s="43">
        <f t="shared" si="14"/>
        <v>0</v>
      </c>
      <c r="E313" s="55"/>
      <c r="F313" s="41"/>
      <c r="G313" s="41"/>
      <c r="Q313" s="80"/>
      <c r="R313" s="41"/>
    </row>
    <row r="314" spans="1:20" s="40" customFormat="1" ht="13" x14ac:dyDescent="0.25">
      <c r="A314" s="42"/>
      <c r="B314" s="43"/>
      <c r="C314" s="43"/>
      <c r="D314" s="43">
        <f t="shared" si="14"/>
        <v>0</v>
      </c>
      <c r="E314" s="55"/>
      <c r="F314" s="41"/>
      <c r="G314" s="41"/>
      <c r="Q314" s="80"/>
      <c r="R314" s="41"/>
    </row>
    <row r="315" spans="1:20" s="40" customFormat="1" ht="13" x14ac:dyDescent="0.25">
      <c r="A315" s="42"/>
      <c r="B315" s="43"/>
      <c r="C315" s="43"/>
      <c r="D315" s="43"/>
      <c r="E315" s="55"/>
      <c r="F315" s="41"/>
      <c r="G315" s="41"/>
      <c r="Q315" s="80"/>
      <c r="R315" s="41"/>
    </row>
    <row r="316" spans="1:20" s="40" customFormat="1" ht="13" x14ac:dyDescent="0.25">
      <c r="A316" s="51"/>
      <c r="B316" s="52">
        <f>SUM(B284:B315)</f>
        <v>95750</v>
      </c>
      <c r="C316" s="52">
        <f>SUM(C284:C315)</f>
        <v>0</v>
      </c>
      <c r="D316" s="52">
        <f>SUM(D284:D315)</f>
        <v>0</v>
      </c>
      <c r="E316" s="53">
        <f>B316+D316</f>
        <v>95750</v>
      </c>
      <c r="F316" s="52">
        <f>E316*E317</f>
        <v>9575</v>
      </c>
      <c r="G316" s="52">
        <f>SUM(G284:G315)</f>
        <v>0</v>
      </c>
      <c r="P316" s="84">
        <f>E316*E317</f>
        <v>9575</v>
      </c>
      <c r="Q316" s="80"/>
      <c r="R316" s="52">
        <f>SUM(R284:R315)</f>
        <v>2050</v>
      </c>
    </row>
    <row r="317" spans="1:20" s="40" customFormat="1" ht="13" x14ac:dyDescent="0.25">
      <c r="A317" s="51"/>
      <c r="B317" s="58"/>
      <c r="C317" s="58"/>
      <c r="D317" s="58"/>
      <c r="E317" s="54">
        <v>0.1</v>
      </c>
      <c r="F317" s="41"/>
      <c r="G317" s="41"/>
      <c r="Q317" s="80"/>
      <c r="R317" s="54"/>
    </row>
    <row r="318" spans="1:20" s="40" customFormat="1" ht="13.5" thickBot="1" x14ac:dyDescent="0.3">
      <c r="A318" s="72" t="s">
        <v>141</v>
      </c>
      <c r="B318" s="73">
        <f t="shared" ref="B318:P318" si="15">B70+B129+B191+B247+B280+B316</f>
        <v>1455224</v>
      </c>
      <c r="C318" s="73">
        <f t="shared" si="15"/>
        <v>0</v>
      </c>
      <c r="D318" s="73">
        <f t="shared" si="15"/>
        <v>0</v>
      </c>
      <c r="E318" s="73">
        <f t="shared" si="15"/>
        <v>1455224</v>
      </c>
      <c r="F318" s="73">
        <f t="shared" si="15"/>
        <v>433144.8</v>
      </c>
      <c r="G318" s="73" t="e">
        <f t="shared" ca="1" si="15"/>
        <v>#NUM!</v>
      </c>
      <c r="H318" s="73">
        <f t="shared" si="15"/>
        <v>0</v>
      </c>
      <c r="I318" s="73">
        <f t="shared" si="15"/>
        <v>0</v>
      </c>
      <c r="J318" s="73">
        <f t="shared" si="15"/>
        <v>0</v>
      </c>
      <c r="K318" s="73">
        <f t="shared" si="15"/>
        <v>0</v>
      </c>
      <c r="L318" s="73">
        <f t="shared" si="15"/>
        <v>0</v>
      </c>
      <c r="M318" s="73">
        <f t="shared" si="15"/>
        <v>0</v>
      </c>
      <c r="N318" s="73">
        <f t="shared" si="15"/>
        <v>0</v>
      </c>
      <c r="O318" s="73">
        <f t="shared" si="15"/>
        <v>0</v>
      </c>
      <c r="P318" s="73">
        <f t="shared" si="15"/>
        <v>433144.8</v>
      </c>
      <c r="Q318" s="80"/>
      <c r="R318" s="73">
        <f>R70+R129+R191+R247+R280+R316</f>
        <v>155313</v>
      </c>
    </row>
    <row r="319" spans="1:20" ht="13" thickTop="1" x14ac:dyDescent="0.25">
      <c r="F319" s="31"/>
      <c r="G319" s="31"/>
      <c r="I319" s="31"/>
      <c r="J319" s="31"/>
      <c r="Q319" s="97"/>
      <c r="R319" s="31"/>
      <c r="S319" s="18"/>
      <c r="T319" s="18"/>
    </row>
    <row r="320" spans="1:20" x14ac:dyDescent="0.25">
      <c r="F320" s="31"/>
      <c r="G320" s="31"/>
      <c r="I320" s="31"/>
      <c r="J320" s="31"/>
      <c r="Q320" s="97"/>
      <c r="R320" s="31"/>
      <c r="S320" s="18"/>
      <c r="T320" s="18"/>
    </row>
    <row r="321" spans="1:20" x14ac:dyDescent="0.25">
      <c r="F321" s="31"/>
      <c r="G321" s="31"/>
      <c r="I321" s="31"/>
      <c r="J321" s="31"/>
      <c r="Q321" s="97"/>
      <c r="R321" s="31"/>
      <c r="S321" s="18"/>
      <c r="T321" s="18"/>
    </row>
    <row r="322" spans="1:20" s="40" customFormat="1" ht="13" x14ac:dyDescent="0.25">
      <c r="A322" s="36" t="s">
        <v>43</v>
      </c>
      <c r="B322" s="37"/>
      <c r="C322" s="37"/>
      <c r="D322" s="38"/>
      <c r="E322" s="39"/>
      <c r="F322" s="41"/>
      <c r="G322" s="41"/>
      <c r="Q322" s="80"/>
      <c r="R322" s="41"/>
    </row>
    <row r="323" spans="1:20" s="40" customFormat="1" ht="13" x14ac:dyDescent="0.25">
      <c r="A323" s="36" t="s">
        <v>147</v>
      </c>
      <c r="B323" s="37"/>
      <c r="C323" s="37"/>
      <c r="D323" s="38"/>
      <c r="E323" s="39"/>
      <c r="F323" s="41"/>
      <c r="G323" s="41"/>
      <c r="Q323" s="80"/>
      <c r="R323" s="41"/>
    </row>
    <row r="324" spans="1:20" s="88" customFormat="1" x14ac:dyDescent="0.25">
      <c r="A324" s="110" t="s">
        <v>323</v>
      </c>
      <c r="B324" s="111">
        <v>300</v>
      </c>
      <c r="C324" s="111"/>
      <c r="D324" s="111"/>
      <c r="E324" s="86"/>
      <c r="F324" s="87"/>
      <c r="G324" s="87"/>
      <c r="Q324" s="89"/>
      <c r="R324" s="87"/>
    </row>
    <row r="325" spans="1:20" s="61" customFormat="1" x14ac:dyDescent="0.25">
      <c r="A325" s="42"/>
      <c r="B325" s="43"/>
      <c r="C325" s="43"/>
      <c r="D325" s="43"/>
      <c r="E325" s="44"/>
      <c r="F325" s="62"/>
      <c r="G325" s="62"/>
      <c r="Q325" s="82"/>
      <c r="R325" s="62"/>
    </row>
    <row r="326" spans="1:20" s="61" customFormat="1" x14ac:dyDescent="0.25">
      <c r="A326" s="42"/>
      <c r="B326" s="43"/>
      <c r="C326" s="43"/>
      <c r="D326" s="43"/>
      <c r="E326" s="44"/>
      <c r="F326" s="62"/>
      <c r="G326" s="62"/>
      <c r="Q326" s="82"/>
      <c r="R326" s="62"/>
    </row>
    <row r="327" spans="1:20" s="61" customFormat="1" x14ac:dyDescent="0.25">
      <c r="A327" s="42"/>
      <c r="B327" s="43"/>
      <c r="C327" s="43"/>
      <c r="D327" s="43"/>
      <c r="E327" s="44"/>
      <c r="F327" s="62"/>
      <c r="G327" s="62"/>
      <c r="Q327" s="82"/>
      <c r="R327" s="62"/>
    </row>
    <row r="328" spans="1:20" s="61" customFormat="1" x14ac:dyDescent="0.25">
      <c r="A328" s="83" t="s">
        <v>155</v>
      </c>
      <c r="B328" s="43"/>
      <c r="C328" s="43"/>
      <c r="D328" s="43"/>
      <c r="E328" s="44"/>
      <c r="F328" s="62"/>
      <c r="G328" s="62"/>
      <c r="Q328" s="82"/>
      <c r="R328" s="62"/>
    </row>
    <row r="329" spans="1:20" s="61" customFormat="1" x14ac:dyDescent="0.25">
      <c r="A329" s="42"/>
      <c r="B329" s="43"/>
      <c r="C329" s="43"/>
      <c r="D329" s="43"/>
      <c r="E329" s="44"/>
      <c r="F329" s="62"/>
      <c r="G329" s="62"/>
      <c r="Q329" s="82"/>
      <c r="R329" s="62"/>
    </row>
    <row r="330" spans="1:20" s="61" customFormat="1" x14ac:dyDescent="0.25">
      <c r="A330" s="42"/>
      <c r="B330" s="43"/>
      <c r="C330" s="43"/>
      <c r="D330" s="43"/>
      <c r="E330" s="44"/>
      <c r="F330" s="62"/>
      <c r="G330" s="62"/>
      <c r="Q330" s="82"/>
      <c r="R330" s="62"/>
    </row>
    <row r="331" spans="1:20" s="61" customFormat="1" x14ac:dyDescent="0.25">
      <c r="A331" s="42"/>
      <c r="B331" s="43"/>
      <c r="C331" s="43"/>
      <c r="D331" s="43"/>
      <c r="E331" s="44"/>
      <c r="F331" s="62"/>
      <c r="G331" s="62"/>
      <c r="Q331" s="82"/>
      <c r="R331" s="62"/>
    </row>
    <row r="332" spans="1:20" s="61" customFormat="1" x14ac:dyDescent="0.25">
      <c r="A332" s="42"/>
      <c r="B332" s="43"/>
      <c r="C332" s="43"/>
      <c r="D332" s="43"/>
      <c r="E332" s="44"/>
      <c r="F332" s="62"/>
      <c r="G332" s="62"/>
      <c r="Q332" s="82"/>
      <c r="R332" s="62"/>
    </row>
    <row r="333" spans="1:20" s="40" customFormat="1" x14ac:dyDescent="0.25">
      <c r="A333" s="42"/>
      <c r="B333" s="43"/>
      <c r="C333" s="43"/>
      <c r="D333" s="43"/>
      <c r="E333" s="44"/>
      <c r="F333" s="41"/>
      <c r="G333" s="41"/>
      <c r="Q333" s="80"/>
      <c r="R333" s="41"/>
    </row>
    <row r="334" spans="1:20" s="40" customFormat="1" ht="13" x14ac:dyDescent="0.25">
      <c r="A334" s="51"/>
      <c r="B334" s="52">
        <f>SUM(B324:B333)</f>
        <v>300</v>
      </c>
      <c r="C334" s="52">
        <f t="shared" ref="C334:E334" si="16">SUM(C324:C333)</f>
        <v>0</v>
      </c>
      <c r="D334" s="52">
        <f t="shared" si="16"/>
        <v>0</v>
      </c>
      <c r="E334" s="52">
        <f t="shared" si="16"/>
        <v>0</v>
      </c>
      <c r="F334" s="52">
        <f>E334*E335</f>
        <v>0</v>
      </c>
      <c r="G334" s="52" t="e">
        <f ca="1">SUM(G324:G546)</f>
        <v>#NUM!</v>
      </c>
      <c r="P334" s="84">
        <f>E334*E335</f>
        <v>0</v>
      </c>
      <c r="Q334" s="80"/>
      <c r="R334" s="52">
        <f>SUM(R324:R333)</f>
        <v>0</v>
      </c>
    </row>
    <row r="335" spans="1:20" s="40" customFormat="1" ht="13" x14ac:dyDescent="0.25">
      <c r="A335" s="51"/>
      <c r="B335" s="58"/>
      <c r="C335" s="58"/>
      <c r="D335" s="58"/>
      <c r="E335" s="54">
        <v>0.2</v>
      </c>
      <c r="F335" s="41"/>
      <c r="G335" s="41"/>
      <c r="Q335" s="80"/>
      <c r="R335" s="41"/>
    </row>
    <row r="336" spans="1:20" s="40" customFormat="1" ht="13" x14ac:dyDescent="0.25">
      <c r="A336" s="36" t="s">
        <v>164</v>
      </c>
      <c r="B336" s="59"/>
      <c r="C336" s="43"/>
      <c r="D336" s="59"/>
      <c r="E336" s="59"/>
      <c r="F336" s="41"/>
      <c r="G336" s="41"/>
      <c r="Q336" s="80"/>
      <c r="R336" s="41"/>
    </row>
    <row r="337" spans="1:18" s="40" customFormat="1" ht="13" x14ac:dyDescent="0.25">
      <c r="A337" s="36" t="s">
        <v>165</v>
      </c>
      <c r="B337" s="59"/>
      <c r="C337" s="43"/>
      <c r="D337" s="59"/>
      <c r="E337" s="59"/>
      <c r="F337" s="41"/>
      <c r="G337" s="41"/>
      <c r="Q337" s="80"/>
      <c r="R337" s="41"/>
    </row>
    <row r="338" spans="1:18" s="88" customFormat="1" x14ac:dyDescent="0.25">
      <c r="A338" s="110" t="s">
        <v>324</v>
      </c>
      <c r="B338" s="85">
        <v>5750</v>
      </c>
      <c r="C338" s="85"/>
      <c r="D338" s="85"/>
      <c r="E338" s="86"/>
      <c r="F338" s="87"/>
      <c r="G338" s="87"/>
      <c r="Q338" s="89"/>
      <c r="R338" s="87"/>
    </row>
    <row r="339" spans="1:18" s="88" customFormat="1" x14ac:dyDescent="0.25">
      <c r="A339" s="42"/>
      <c r="B339" s="85"/>
      <c r="C339" s="85"/>
      <c r="D339" s="85"/>
      <c r="E339" s="86"/>
      <c r="F339" s="87"/>
      <c r="G339" s="87"/>
      <c r="Q339" s="89"/>
      <c r="R339" s="87"/>
    </row>
    <row r="340" spans="1:18" s="88" customFormat="1" x14ac:dyDescent="0.25">
      <c r="A340" s="42"/>
      <c r="B340" s="85"/>
      <c r="C340" s="85"/>
      <c r="D340" s="85"/>
      <c r="E340" s="86"/>
      <c r="F340" s="87"/>
      <c r="G340" s="87"/>
      <c r="Q340" s="89"/>
      <c r="R340" s="87"/>
    </row>
    <row r="341" spans="1:18" s="88" customFormat="1" x14ac:dyDescent="0.25">
      <c r="A341" s="42"/>
      <c r="B341" s="85"/>
      <c r="C341" s="85"/>
      <c r="D341" s="85"/>
      <c r="E341" s="86"/>
      <c r="F341" s="87"/>
      <c r="G341" s="87"/>
      <c r="Q341" s="89"/>
      <c r="R341" s="87"/>
    </row>
    <row r="342" spans="1:18" s="88" customFormat="1" x14ac:dyDescent="0.25">
      <c r="A342" s="90" t="s">
        <v>176</v>
      </c>
      <c r="B342" s="85"/>
      <c r="C342" s="85"/>
      <c r="D342" s="85"/>
      <c r="E342" s="86"/>
      <c r="F342" s="87"/>
      <c r="G342" s="87"/>
      <c r="Q342" s="89"/>
      <c r="R342" s="87"/>
    </row>
    <row r="343" spans="1:18" s="88" customFormat="1" x14ac:dyDescent="0.25">
      <c r="A343" s="42"/>
      <c r="B343" s="85"/>
      <c r="C343" s="85"/>
      <c r="D343" s="85"/>
      <c r="E343" s="86"/>
      <c r="F343" s="87"/>
      <c r="G343" s="87"/>
      <c r="Q343" s="89"/>
      <c r="R343" s="87"/>
    </row>
    <row r="344" spans="1:18" s="88" customFormat="1" x14ac:dyDescent="0.25">
      <c r="A344" s="42"/>
      <c r="B344" s="85"/>
      <c r="C344" s="85"/>
      <c r="D344" s="85"/>
      <c r="E344" s="86"/>
      <c r="F344" s="87"/>
      <c r="G344" s="87"/>
      <c r="Q344" s="89"/>
      <c r="R344" s="87"/>
    </row>
    <row r="345" spans="1:18" s="88" customFormat="1" x14ac:dyDescent="0.25">
      <c r="A345" s="42"/>
      <c r="B345" s="85"/>
      <c r="C345" s="85"/>
      <c r="D345" s="85"/>
      <c r="E345" s="86"/>
      <c r="F345" s="87"/>
      <c r="G345" s="87"/>
      <c r="Q345" s="89"/>
      <c r="R345" s="87"/>
    </row>
    <row r="346" spans="1:18" s="61" customFormat="1" x14ac:dyDescent="0.25">
      <c r="A346" s="42"/>
      <c r="B346" s="59"/>
      <c r="C346" s="59"/>
      <c r="D346" s="59"/>
      <c r="E346" s="44"/>
      <c r="F346" s="62"/>
      <c r="G346" s="62"/>
      <c r="Q346" s="82"/>
      <c r="R346" s="62"/>
    </row>
    <row r="347" spans="1:18" s="61" customFormat="1" x14ac:dyDescent="0.25">
      <c r="A347" s="42"/>
      <c r="B347" s="59"/>
      <c r="C347" s="59"/>
      <c r="D347" s="59"/>
      <c r="E347" s="44"/>
      <c r="F347" s="62"/>
      <c r="G347" s="62"/>
      <c r="Q347" s="82"/>
      <c r="R347" s="62"/>
    </row>
    <row r="348" spans="1:18" s="61" customFormat="1" ht="13" x14ac:dyDescent="0.3">
      <c r="A348" s="91" t="s">
        <v>182</v>
      </c>
      <c r="B348" s="59"/>
      <c r="C348" s="59"/>
      <c r="D348" s="59"/>
      <c r="E348" s="44"/>
      <c r="F348" s="62"/>
      <c r="G348" s="62"/>
      <c r="Q348" s="82"/>
      <c r="R348" s="62"/>
    </row>
    <row r="349" spans="1:18" s="61" customFormat="1" x14ac:dyDescent="0.25">
      <c r="A349" s="42"/>
      <c r="B349" s="59"/>
      <c r="C349" s="59"/>
      <c r="D349" s="59"/>
      <c r="E349" s="44"/>
      <c r="F349" s="62"/>
      <c r="G349" s="62"/>
      <c r="Q349" s="82"/>
      <c r="R349" s="62"/>
    </row>
    <row r="350" spans="1:18" s="61" customFormat="1" x14ac:dyDescent="0.25">
      <c r="A350" s="42"/>
      <c r="C350" s="59"/>
      <c r="D350" s="59"/>
      <c r="E350" s="44"/>
      <c r="F350" s="62"/>
      <c r="G350" s="62"/>
      <c r="Q350" s="82"/>
      <c r="R350" s="62"/>
    </row>
    <row r="351" spans="1:18" s="61" customFormat="1" x14ac:dyDescent="0.25">
      <c r="A351" s="42"/>
      <c r="B351" s="59"/>
      <c r="C351" s="59"/>
      <c r="D351" s="59"/>
      <c r="E351" s="44"/>
      <c r="F351" s="62"/>
      <c r="G351" s="62"/>
      <c r="Q351" s="82"/>
      <c r="R351" s="62"/>
    </row>
    <row r="352" spans="1:18" s="61" customFormat="1" ht="13" x14ac:dyDescent="0.25">
      <c r="A352" s="92" t="s">
        <v>197</v>
      </c>
      <c r="B352" s="59"/>
      <c r="C352" s="59"/>
      <c r="D352" s="59"/>
      <c r="E352" s="44"/>
      <c r="F352" s="62"/>
      <c r="G352" s="62"/>
      <c r="Q352" s="82"/>
      <c r="R352" s="62"/>
    </row>
    <row r="353" spans="1:20" s="88" customFormat="1" x14ac:dyDescent="0.25">
      <c r="A353" s="110" t="s">
        <v>325</v>
      </c>
      <c r="B353" s="85">
        <v>200</v>
      </c>
      <c r="C353" s="85"/>
      <c r="D353" s="85"/>
      <c r="E353" s="86"/>
      <c r="F353" s="87"/>
      <c r="G353" s="87"/>
      <c r="Q353" s="89"/>
      <c r="R353" s="87"/>
    </row>
    <row r="354" spans="1:20" s="61" customFormat="1" x14ac:dyDescent="0.25">
      <c r="A354" s="42"/>
      <c r="B354" s="59"/>
      <c r="C354" s="59"/>
      <c r="D354" s="59"/>
      <c r="E354" s="44"/>
      <c r="F354" s="62"/>
      <c r="G354" s="62"/>
      <c r="Q354" s="82"/>
      <c r="R354" s="62"/>
    </row>
    <row r="355" spans="1:20" s="61" customFormat="1" x14ac:dyDescent="0.25">
      <c r="A355" s="42"/>
      <c r="B355" s="59"/>
      <c r="C355" s="59"/>
      <c r="D355" s="59"/>
      <c r="E355" s="44"/>
      <c r="F355" s="62"/>
      <c r="G355" s="62"/>
      <c r="Q355" s="82"/>
      <c r="R355" s="62"/>
    </row>
    <row r="356" spans="1:20" s="61" customFormat="1" x14ac:dyDescent="0.25">
      <c r="A356" s="42"/>
      <c r="B356" s="59"/>
      <c r="C356" s="59"/>
      <c r="D356" s="59"/>
      <c r="E356" s="44"/>
      <c r="F356" s="62"/>
      <c r="G356" s="62"/>
      <c r="Q356" s="82"/>
      <c r="R356" s="62"/>
    </row>
    <row r="357" spans="1:20" s="40" customFormat="1" ht="13" x14ac:dyDescent="0.25">
      <c r="A357" s="51"/>
      <c r="B357" s="64">
        <f>SUM(B338:B356)</f>
        <v>5950</v>
      </c>
      <c r="C357" s="64">
        <f>SUM(C338:C356)</f>
        <v>0</v>
      </c>
      <c r="D357" s="64">
        <f>SUM(D338:D356)</f>
        <v>0</v>
      </c>
      <c r="E357" s="53">
        <f>B357+D357</f>
        <v>5950</v>
      </c>
      <c r="F357" s="64">
        <f>E357*E358</f>
        <v>1190</v>
      </c>
      <c r="G357" s="64">
        <f>SUM(G338:G356)</f>
        <v>0</v>
      </c>
      <c r="P357" s="84">
        <f>E357*E358</f>
        <v>1190</v>
      </c>
      <c r="Q357" s="80"/>
      <c r="R357" s="64">
        <f>SUM(R338:R356)</f>
        <v>0</v>
      </c>
    </row>
    <row r="358" spans="1:20" s="40" customFormat="1" ht="13" x14ac:dyDescent="0.25">
      <c r="A358" s="51"/>
      <c r="B358" s="66"/>
      <c r="C358" s="66"/>
      <c r="D358" s="66"/>
      <c r="E358" s="54">
        <v>0.2</v>
      </c>
      <c r="F358" s="41"/>
      <c r="G358" s="41"/>
      <c r="Q358" s="80"/>
      <c r="R358" s="41"/>
    </row>
    <row r="359" spans="1:20" s="40" customFormat="1" ht="13" x14ac:dyDescent="0.25">
      <c r="A359" s="36" t="s">
        <v>61</v>
      </c>
      <c r="B359" s="43"/>
      <c r="C359" s="59"/>
      <c r="D359" s="43"/>
      <c r="E359" s="44"/>
      <c r="F359" s="41"/>
      <c r="G359" s="41"/>
      <c r="Q359" s="80"/>
      <c r="R359" s="41"/>
    </row>
    <row r="360" spans="1:20" s="40" customFormat="1" ht="13" x14ac:dyDescent="0.25">
      <c r="A360" s="36" t="s">
        <v>206</v>
      </c>
      <c r="B360" s="43"/>
      <c r="C360" s="59"/>
      <c r="D360" s="43"/>
      <c r="E360" s="44"/>
      <c r="F360" s="41"/>
      <c r="G360" s="41"/>
      <c r="Q360" s="80"/>
      <c r="R360" s="41"/>
    </row>
    <row r="361" spans="1:20" s="88" customFormat="1" x14ac:dyDescent="0.25">
      <c r="A361" s="110" t="s">
        <v>326</v>
      </c>
      <c r="B361" s="85">
        <v>2000</v>
      </c>
      <c r="D361" s="111"/>
      <c r="F361" s="87"/>
      <c r="G361" s="87"/>
      <c r="Q361" s="89"/>
      <c r="R361" s="87"/>
    </row>
    <row r="362" spans="1:20" s="112" customFormat="1" x14ac:dyDescent="0.25">
      <c r="A362" s="110" t="s">
        <v>327</v>
      </c>
      <c r="B362" s="85">
        <v>5000</v>
      </c>
      <c r="D362" s="111"/>
      <c r="F362" s="113"/>
      <c r="G362" s="113"/>
      <c r="Q362" s="114"/>
      <c r="R362" s="113"/>
    </row>
    <row r="363" spans="1:20" s="88" customFormat="1" x14ac:dyDescent="0.25">
      <c r="A363" s="110" t="s">
        <v>328</v>
      </c>
      <c r="B363" s="87">
        <v>24000</v>
      </c>
      <c r="D363" s="85"/>
      <c r="F363" s="87"/>
      <c r="G363" s="87"/>
      <c r="Q363" s="89"/>
      <c r="R363" s="87"/>
    </row>
    <row r="364" spans="1:20" s="112" customFormat="1" x14ac:dyDescent="0.25">
      <c r="A364" s="110" t="s">
        <v>329</v>
      </c>
      <c r="B364" s="85">
        <v>50000</v>
      </c>
      <c r="D364" s="111"/>
      <c r="F364" s="113"/>
      <c r="G364" s="113"/>
      <c r="Q364" s="114"/>
      <c r="R364" s="113"/>
    </row>
    <row r="365" spans="1:20" s="112" customFormat="1" x14ac:dyDescent="0.25">
      <c r="A365" s="110" t="s">
        <v>330</v>
      </c>
      <c r="B365" s="85">
        <v>13000</v>
      </c>
      <c r="D365" s="111"/>
      <c r="F365" s="113"/>
      <c r="G365" s="113"/>
      <c r="Q365" s="114"/>
      <c r="R365" s="113"/>
    </row>
    <row r="366" spans="1:20" x14ac:dyDescent="0.25">
      <c r="A366" s="42"/>
      <c r="B366" s="59"/>
      <c r="D366" s="43"/>
      <c r="F366" s="31"/>
      <c r="G366" s="31"/>
      <c r="Q366" s="97"/>
      <c r="R366" s="31"/>
      <c r="S366" s="18"/>
      <c r="T366" s="18"/>
    </row>
    <row r="367" spans="1:20" x14ac:dyDescent="0.25">
      <c r="A367" s="42"/>
      <c r="B367" s="59"/>
      <c r="D367" s="43"/>
      <c r="F367" s="31"/>
      <c r="G367" s="31"/>
      <c r="Q367" s="97"/>
      <c r="R367" s="31"/>
      <c r="S367" s="18"/>
      <c r="T367" s="18"/>
    </row>
    <row r="368" spans="1:20" x14ac:dyDescent="0.25">
      <c r="A368" s="42"/>
      <c r="B368" s="59"/>
      <c r="D368" s="43"/>
      <c r="F368" s="31"/>
      <c r="G368" s="31"/>
      <c r="Q368" s="97"/>
      <c r="R368" s="31"/>
      <c r="S368" s="18"/>
      <c r="T368" s="18"/>
    </row>
    <row r="369" spans="1:20" x14ac:dyDescent="0.25">
      <c r="A369" s="42"/>
      <c r="B369" s="59"/>
      <c r="D369" s="43"/>
      <c r="F369" s="31"/>
      <c r="G369" s="31"/>
      <c r="Q369" s="97"/>
      <c r="R369" s="31"/>
      <c r="S369" s="18"/>
      <c r="T369" s="18"/>
    </row>
    <row r="370" spans="1:20" x14ac:dyDescent="0.25">
      <c r="A370" s="42"/>
      <c r="B370" s="59"/>
      <c r="D370" s="43"/>
      <c r="F370" s="31"/>
      <c r="G370" s="31"/>
      <c r="Q370" s="97"/>
      <c r="R370" s="31"/>
      <c r="S370" s="18"/>
      <c r="T370" s="18"/>
    </row>
    <row r="371" spans="1:20" ht="13" x14ac:dyDescent="0.25">
      <c r="A371" s="36" t="s">
        <v>67</v>
      </c>
      <c r="B371" s="59"/>
      <c r="D371" s="43"/>
      <c r="F371" s="31"/>
      <c r="G371" s="31"/>
      <c r="Q371" s="97"/>
      <c r="R371" s="31"/>
      <c r="S371" s="18"/>
      <c r="T371" s="18"/>
    </row>
    <row r="372" spans="1:20" s="68" customFormat="1" x14ac:dyDescent="0.25">
      <c r="A372" s="42" t="s">
        <v>71</v>
      </c>
      <c r="B372" s="67">
        <v>3000</v>
      </c>
      <c r="D372" s="43"/>
      <c r="F372" s="67"/>
      <c r="G372" s="67"/>
      <c r="Q372" s="96"/>
      <c r="R372" s="67"/>
    </row>
    <row r="373" spans="1:20" s="68" customFormat="1" x14ac:dyDescent="0.25">
      <c r="A373" s="42" t="s">
        <v>77</v>
      </c>
      <c r="B373" s="67"/>
      <c r="C373" s="67">
        <v>150000</v>
      </c>
      <c r="D373" s="59">
        <f>C373*13000/1000000</f>
        <v>1950</v>
      </c>
      <c r="F373" s="67"/>
      <c r="G373" s="67"/>
      <c r="Q373" s="96"/>
      <c r="R373" s="67"/>
    </row>
    <row r="374" spans="1:20" s="68" customFormat="1" x14ac:dyDescent="0.25">
      <c r="A374" s="42" t="s">
        <v>331</v>
      </c>
      <c r="B374" s="67">
        <v>8000</v>
      </c>
      <c r="D374" s="59">
        <f>C374*13000/1000000</f>
        <v>0</v>
      </c>
      <c r="F374" s="67"/>
      <c r="G374" s="67"/>
      <c r="Q374" s="96"/>
      <c r="R374" s="67"/>
    </row>
    <row r="375" spans="1:20" s="88" customFormat="1" x14ac:dyDescent="0.25">
      <c r="A375" s="110" t="s">
        <v>332</v>
      </c>
      <c r="B375" s="85">
        <v>4000</v>
      </c>
      <c r="D375" s="111"/>
      <c r="F375" s="87"/>
      <c r="G375" s="87"/>
      <c r="Q375" s="89"/>
      <c r="R375" s="85"/>
    </row>
    <row r="376" spans="1:20" x14ac:dyDescent="0.25">
      <c r="A376" s="42" t="s">
        <v>333</v>
      </c>
      <c r="B376" s="59">
        <v>2300</v>
      </c>
      <c r="D376" s="43"/>
      <c r="F376" s="31"/>
      <c r="G376" s="31"/>
      <c r="Q376" s="97"/>
      <c r="R376" s="31"/>
      <c r="S376" s="18"/>
      <c r="T376" s="18"/>
    </row>
    <row r="377" spans="1:20" x14ac:dyDescent="0.25">
      <c r="A377" s="42" t="s">
        <v>334</v>
      </c>
      <c r="B377" s="59">
        <v>6500</v>
      </c>
      <c r="D377" s="43"/>
      <c r="F377" s="31"/>
      <c r="G377" s="31"/>
      <c r="Q377" s="97"/>
      <c r="R377" s="31"/>
      <c r="S377" s="18"/>
      <c r="T377" s="18"/>
    </row>
    <row r="378" spans="1:20" s="61" customFormat="1" x14ac:dyDescent="0.25">
      <c r="A378" s="42" t="s">
        <v>335</v>
      </c>
      <c r="B378" s="59">
        <v>400</v>
      </c>
      <c r="D378" s="43"/>
      <c r="F378" s="62"/>
      <c r="G378" s="62"/>
      <c r="Q378" s="82"/>
      <c r="R378" s="62"/>
    </row>
    <row r="379" spans="1:20" s="68" customFormat="1" x14ac:dyDescent="0.25">
      <c r="A379" s="42" t="s">
        <v>220</v>
      </c>
      <c r="B379" s="59">
        <v>280</v>
      </c>
      <c r="D379" s="43"/>
      <c r="F379" s="67"/>
      <c r="G379" s="67"/>
      <c r="Q379" s="96"/>
      <c r="R379" s="67"/>
    </row>
    <row r="380" spans="1:20" s="68" customFormat="1" x14ac:dyDescent="0.25">
      <c r="A380" s="42" t="s">
        <v>221</v>
      </c>
      <c r="B380" s="59">
        <v>4500</v>
      </c>
      <c r="D380" s="43"/>
      <c r="F380" s="67"/>
      <c r="G380" s="67"/>
      <c r="Q380" s="96"/>
      <c r="R380" s="67"/>
    </row>
    <row r="381" spans="1:20" s="68" customFormat="1" x14ac:dyDescent="0.25">
      <c r="A381" s="42"/>
      <c r="B381" s="59"/>
      <c r="D381" s="43"/>
      <c r="F381" s="67"/>
      <c r="G381" s="67"/>
      <c r="Q381" s="96"/>
      <c r="R381" s="67"/>
    </row>
    <row r="382" spans="1:20" s="68" customFormat="1" x14ac:dyDescent="0.25">
      <c r="A382" s="42"/>
      <c r="B382" s="59"/>
      <c r="D382" s="43"/>
      <c r="F382" s="67"/>
      <c r="G382" s="67"/>
      <c r="Q382" s="96"/>
      <c r="R382" s="67"/>
    </row>
    <row r="383" spans="1:20" s="68" customFormat="1" x14ac:dyDescent="0.25">
      <c r="A383" s="42"/>
      <c r="B383" s="59"/>
      <c r="D383" s="43"/>
      <c r="F383" s="67"/>
      <c r="G383" s="67"/>
      <c r="Q383" s="96"/>
      <c r="R383" s="67"/>
    </row>
    <row r="384" spans="1:20" x14ac:dyDescent="0.25">
      <c r="A384" s="42"/>
      <c r="B384" s="59"/>
      <c r="D384" s="43"/>
      <c r="F384" s="31"/>
      <c r="G384" s="31"/>
      <c r="Q384" s="97"/>
      <c r="R384" s="31"/>
      <c r="S384" s="18"/>
      <c r="T384" s="18"/>
    </row>
    <row r="385" spans="1:20" x14ac:dyDescent="0.25">
      <c r="A385" s="42"/>
      <c r="B385" s="59"/>
      <c r="D385" s="43"/>
      <c r="F385" s="31"/>
      <c r="G385" s="31"/>
      <c r="Q385" s="97"/>
      <c r="R385" s="31"/>
      <c r="S385" s="18"/>
      <c r="T385" s="18"/>
    </row>
    <row r="386" spans="1:20" x14ac:dyDescent="0.25">
      <c r="A386" s="42"/>
      <c r="B386" s="59"/>
      <c r="D386" s="43"/>
      <c r="F386" s="31"/>
      <c r="G386" s="31"/>
      <c r="Q386" s="97"/>
      <c r="R386" s="31"/>
      <c r="S386" s="18"/>
      <c r="T386" s="18"/>
    </row>
    <row r="387" spans="1:20" ht="13" x14ac:dyDescent="0.25">
      <c r="A387" s="36" t="s">
        <v>147</v>
      </c>
      <c r="B387" s="59"/>
      <c r="D387" s="43"/>
      <c r="F387" s="31"/>
      <c r="G387" s="31"/>
      <c r="Q387" s="97"/>
      <c r="R387" s="31"/>
      <c r="S387" s="18"/>
      <c r="T387" s="18"/>
    </row>
    <row r="388" spans="1:20" x14ac:dyDescent="0.25">
      <c r="A388" s="42" t="s">
        <v>238</v>
      </c>
      <c r="B388" s="59">
        <v>6300</v>
      </c>
      <c r="D388" s="43"/>
      <c r="F388" s="31"/>
      <c r="G388" s="31"/>
      <c r="Q388" s="97"/>
      <c r="R388" s="31"/>
      <c r="S388" s="18"/>
      <c r="T388" s="18"/>
    </row>
    <row r="389" spans="1:20" x14ac:dyDescent="0.25">
      <c r="A389" s="42" t="s">
        <v>239</v>
      </c>
      <c r="B389" s="59">
        <v>36000</v>
      </c>
      <c r="D389" s="43"/>
      <c r="F389" s="31"/>
      <c r="G389" s="31"/>
      <c r="Q389" s="97"/>
      <c r="R389" s="31"/>
      <c r="S389" s="18"/>
      <c r="T389" s="18"/>
    </row>
    <row r="390" spans="1:20" s="93" customFormat="1" x14ac:dyDescent="0.25">
      <c r="A390" s="45" t="s">
        <v>240</v>
      </c>
      <c r="B390" s="69"/>
      <c r="D390" s="47"/>
      <c r="F390" s="94"/>
      <c r="G390" s="94"/>
      <c r="Q390" s="95"/>
      <c r="R390" s="94">
        <v>42000</v>
      </c>
    </row>
    <row r="391" spans="1:20" s="112" customFormat="1" x14ac:dyDescent="0.25">
      <c r="A391" s="110" t="s">
        <v>336</v>
      </c>
      <c r="B391" s="85">
        <v>25000</v>
      </c>
      <c r="D391" s="111"/>
      <c r="F391" s="113"/>
      <c r="G391" s="113"/>
      <c r="Q391" s="114"/>
      <c r="R391" s="113"/>
    </row>
    <row r="392" spans="1:20" s="112" customFormat="1" x14ac:dyDescent="0.25">
      <c r="A392" s="110" t="s">
        <v>337</v>
      </c>
      <c r="B392" s="85">
        <v>15000</v>
      </c>
      <c r="D392" s="111"/>
      <c r="F392" s="113"/>
      <c r="G392" s="113"/>
      <c r="Q392" s="114"/>
      <c r="R392" s="113"/>
    </row>
    <row r="393" spans="1:20" s="112" customFormat="1" x14ac:dyDescent="0.25">
      <c r="A393" s="110" t="s">
        <v>338</v>
      </c>
      <c r="B393" s="85">
        <v>7800</v>
      </c>
      <c r="D393" s="111"/>
      <c r="F393" s="113"/>
      <c r="G393" s="113"/>
      <c r="Q393" s="114"/>
      <c r="R393" s="113"/>
    </row>
    <row r="394" spans="1:20" x14ac:dyDescent="0.25">
      <c r="A394" s="42" t="s">
        <v>241</v>
      </c>
      <c r="B394" s="59">
        <v>16000</v>
      </c>
      <c r="D394" s="43"/>
      <c r="F394" s="31"/>
      <c r="G394" s="31"/>
      <c r="Q394" s="97"/>
      <c r="R394" s="31"/>
      <c r="S394" s="18"/>
      <c r="T394" s="18"/>
    </row>
    <row r="395" spans="1:20" x14ac:dyDescent="0.25">
      <c r="A395" s="42" t="s">
        <v>242</v>
      </c>
      <c r="B395" s="59">
        <v>7000</v>
      </c>
      <c r="D395" s="43"/>
      <c r="F395" s="31"/>
      <c r="G395" s="31"/>
      <c r="Q395" s="97"/>
      <c r="R395" s="31"/>
      <c r="S395" s="18"/>
      <c r="T395" s="18"/>
    </row>
    <row r="396" spans="1:20" x14ac:dyDescent="0.25">
      <c r="A396" s="42" t="s">
        <v>243</v>
      </c>
      <c r="B396" s="59">
        <v>14000</v>
      </c>
      <c r="D396" s="43"/>
      <c r="F396" s="31"/>
      <c r="G396" s="31"/>
      <c r="Q396" s="97"/>
      <c r="R396" s="31"/>
      <c r="S396" s="18"/>
      <c r="T396" s="18"/>
    </row>
    <row r="397" spans="1:20" x14ac:dyDescent="0.25">
      <c r="A397" s="42" t="s">
        <v>244</v>
      </c>
      <c r="B397" s="59">
        <v>24000</v>
      </c>
      <c r="D397" s="43"/>
      <c r="F397" s="31"/>
      <c r="G397" s="31"/>
      <c r="Q397" s="97"/>
      <c r="R397" s="31"/>
      <c r="S397" s="18"/>
      <c r="T397" s="18"/>
    </row>
    <row r="398" spans="1:20" x14ac:dyDescent="0.25">
      <c r="A398" s="42" t="s">
        <v>245</v>
      </c>
      <c r="B398" s="59">
        <v>90000</v>
      </c>
      <c r="D398" s="43"/>
      <c r="F398" s="31"/>
      <c r="G398" s="31"/>
      <c r="Q398" s="97"/>
      <c r="R398" s="31"/>
      <c r="S398" s="18"/>
      <c r="T398" s="18"/>
    </row>
    <row r="399" spans="1:20" x14ac:dyDescent="0.25">
      <c r="A399" s="42" t="s">
        <v>246</v>
      </c>
      <c r="B399" s="59">
        <v>90000</v>
      </c>
      <c r="D399" s="43"/>
      <c r="F399" s="31"/>
      <c r="G399" s="31"/>
      <c r="Q399" s="97"/>
      <c r="R399" s="31"/>
      <c r="S399" s="18"/>
      <c r="T399" s="18"/>
    </row>
    <row r="400" spans="1:20" x14ac:dyDescent="0.25">
      <c r="A400" s="42"/>
      <c r="B400" s="59"/>
      <c r="D400" s="43"/>
      <c r="F400" s="31"/>
      <c r="G400" s="31"/>
      <c r="Q400" s="97"/>
      <c r="R400" s="31"/>
      <c r="S400" s="18"/>
      <c r="T400" s="18"/>
    </row>
    <row r="401" spans="1:20" x14ac:dyDescent="0.25">
      <c r="A401" s="42"/>
      <c r="B401" s="59"/>
      <c r="D401" s="43"/>
      <c r="F401" s="31"/>
      <c r="G401" s="31"/>
      <c r="Q401" s="97"/>
      <c r="R401" s="31"/>
      <c r="S401" s="18"/>
      <c r="T401" s="18"/>
    </row>
    <row r="402" spans="1:20" x14ac:dyDescent="0.25">
      <c r="F402" s="31"/>
      <c r="G402" s="31"/>
      <c r="Q402" s="97"/>
      <c r="R402" s="31"/>
      <c r="S402" s="18"/>
      <c r="T402" s="18"/>
    </row>
    <row r="403" spans="1:20" s="40" customFormat="1" ht="13" x14ac:dyDescent="0.25">
      <c r="A403" s="36"/>
      <c r="B403" s="52">
        <f>SUM(B359:B402)</f>
        <v>454080</v>
      </c>
      <c r="C403" s="52">
        <f>SUM(C359:C402)</f>
        <v>150000</v>
      </c>
      <c r="D403" s="52">
        <f>SUM(D359:D402)</f>
        <v>1950</v>
      </c>
      <c r="E403" s="53">
        <f>B403+D403</f>
        <v>456030</v>
      </c>
      <c r="F403" s="52">
        <f>E403*E404</f>
        <v>136809</v>
      </c>
      <c r="G403" s="99">
        <f>SUM(G359:G402)</f>
        <v>0</v>
      </c>
      <c r="P403" s="84">
        <f>E403*E404</f>
        <v>136809</v>
      </c>
      <c r="Q403" s="80"/>
      <c r="R403" s="52">
        <f>SUM(R359:R402)</f>
        <v>42000</v>
      </c>
    </row>
    <row r="404" spans="1:20" s="40" customFormat="1" ht="13" x14ac:dyDescent="0.25">
      <c r="A404" s="36"/>
      <c r="B404" s="58"/>
      <c r="C404" s="58"/>
      <c r="D404" s="58"/>
      <c r="E404" s="54">
        <v>0.3</v>
      </c>
      <c r="F404" s="41"/>
      <c r="G404" s="41"/>
      <c r="Q404" s="80"/>
      <c r="R404" s="41"/>
    </row>
    <row r="405" spans="1:20" s="40" customFormat="1" ht="13" x14ac:dyDescent="0.25">
      <c r="A405" s="36" t="s">
        <v>78</v>
      </c>
      <c r="B405" s="43"/>
      <c r="C405" s="59"/>
      <c r="D405" s="43"/>
      <c r="E405" s="44"/>
      <c r="F405" s="41"/>
      <c r="G405" s="41"/>
      <c r="Q405" s="80"/>
      <c r="R405" s="41"/>
    </row>
    <row r="406" spans="1:20" s="40" customFormat="1" ht="13" x14ac:dyDescent="0.25">
      <c r="A406" s="36" t="s">
        <v>206</v>
      </c>
      <c r="B406" s="43"/>
      <c r="C406" s="59"/>
      <c r="D406" s="43"/>
      <c r="E406" s="44"/>
      <c r="F406" s="41"/>
      <c r="G406" s="41"/>
      <c r="Q406" s="80"/>
      <c r="R406" s="41"/>
    </row>
    <row r="407" spans="1:20" s="40" customFormat="1" x14ac:dyDescent="0.25">
      <c r="A407" s="42" t="s">
        <v>64</v>
      </c>
      <c r="B407" s="59">
        <v>10000</v>
      </c>
      <c r="C407" s="59"/>
      <c r="D407" s="43"/>
      <c r="E407" s="44"/>
      <c r="F407" s="41"/>
      <c r="G407" s="41"/>
      <c r="Q407" s="80"/>
      <c r="R407" s="41"/>
    </row>
    <row r="408" spans="1:20" s="61" customFormat="1" x14ac:dyDescent="0.25">
      <c r="A408" s="42" t="s">
        <v>248</v>
      </c>
      <c r="B408" s="59">
        <v>15000</v>
      </c>
      <c r="C408" s="59"/>
      <c r="D408" s="43"/>
      <c r="E408" s="44"/>
      <c r="F408" s="62"/>
      <c r="G408" s="62"/>
      <c r="Q408" s="82"/>
      <c r="R408" s="62"/>
    </row>
    <row r="409" spans="1:20" s="61" customFormat="1" x14ac:dyDescent="0.25">
      <c r="A409" s="42" t="s">
        <v>249</v>
      </c>
      <c r="B409" s="59">
        <v>2000</v>
      </c>
      <c r="C409" s="59"/>
      <c r="D409" s="43"/>
      <c r="E409" s="44"/>
      <c r="F409" s="62"/>
      <c r="G409" s="62"/>
      <c r="Q409" s="82"/>
      <c r="R409" s="62"/>
    </row>
    <row r="410" spans="1:20" s="61" customFormat="1" x14ac:dyDescent="0.25">
      <c r="A410" s="42" t="s">
        <v>250</v>
      </c>
      <c r="B410" s="59">
        <v>2500</v>
      </c>
      <c r="C410" s="59"/>
      <c r="D410" s="43"/>
      <c r="E410" s="44"/>
      <c r="F410" s="62"/>
      <c r="G410" s="62"/>
      <c r="Q410" s="82"/>
      <c r="R410" s="62"/>
    </row>
    <row r="411" spans="1:20" s="104" customFormat="1" x14ac:dyDescent="0.25">
      <c r="A411" s="100" t="s">
        <v>251</v>
      </c>
      <c r="B411" s="71">
        <v>15000</v>
      </c>
      <c r="C411" s="71"/>
      <c r="D411" s="101"/>
      <c r="E411" s="102"/>
      <c r="F411" s="103"/>
      <c r="G411" s="103"/>
      <c r="Q411" s="105"/>
      <c r="R411" s="103"/>
    </row>
    <row r="412" spans="1:20" s="40" customFormat="1" x14ac:dyDescent="0.25">
      <c r="A412" s="42" t="s">
        <v>252</v>
      </c>
      <c r="B412" s="59">
        <v>30000</v>
      </c>
      <c r="C412" s="59"/>
      <c r="D412" s="43"/>
      <c r="E412" s="44"/>
      <c r="F412" s="41"/>
      <c r="G412" s="41"/>
      <c r="Q412" s="80"/>
      <c r="R412" s="41"/>
    </row>
    <row r="413" spans="1:20" s="61" customFormat="1" x14ac:dyDescent="0.25">
      <c r="A413" s="42" t="s">
        <v>253</v>
      </c>
      <c r="B413" s="59">
        <v>4000</v>
      </c>
      <c r="C413" s="59"/>
      <c r="D413" s="43"/>
      <c r="E413" s="44"/>
      <c r="F413" s="62"/>
      <c r="G413" s="62"/>
      <c r="Q413" s="82"/>
      <c r="R413" s="62"/>
    </row>
    <row r="414" spans="1:20" s="104" customFormat="1" x14ac:dyDescent="0.25">
      <c r="A414" s="100" t="s">
        <v>254</v>
      </c>
      <c r="B414" s="71">
        <v>7000</v>
      </c>
      <c r="C414" s="71"/>
      <c r="D414" s="101"/>
      <c r="E414" s="102"/>
      <c r="F414" s="103"/>
      <c r="G414" s="103"/>
      <c r="Q414" s="105"/>
      <c r="R414" s="103"/>
    </row>
    <row r="415" spans="1:20" s="61" customFormat="1" x14ac:dyDescent="0.25">
      <c r="A415" s="42" t="s">
        <v>255</v>
      </c>
      <c r="B415" s="59">
        <v>11000</v>
      </c>
      <c r="C415" s="59"/>
      <c r="D415" s="43"/>
      <c r="E415" s="44"/>
      <c r="F415" s="62"/>
      <c r="G415" s="62"/>
      <c r="Q415" s="82"/>
      <c r="R415" s="62"/>
    </row>
    <row r="416" spans="1:20" s="61" customFormat="1" x14ac:dyDescent="0.25">
      <c r="A416" s="42" t="s">
        <v>256</v>
      </c>
      <c r="B416" s="59">
        <v>14000</v>
      </c>
      <c r="C416" s="59"/>
      <c r="D416" s="43"/>
      <c r="E416" s="44"/>
      <c r="F416" s="62"/>
      <c r="G416" s="62"/>
      <c r="Q416" s="82"/>
      <c r="R416" s="62"/>
    </row>
    <row r="417" spans="1:18" s="61" customFormat="1" x14ac:dyDescent="0.25">
      <c r="A417" s="42" t="s">
        <v>257</v>
      </c>
      <c r="B417" s="59">
        <v>8400</v>
      </c>
      <c r="C417" s="59"/>
      <c r="D417" s="43"/>
      <c r="E417" s="44"/>
      <c r="F417" s="62"/>
      <c r="G417" s="62"/>
      <c r="Q417" s="82"/>
      <c r="R417" s="62"/>
    </row>
    <row r="418" spans="1:18" s="61" customFormat="1" x14ac:dyDescent="0.25">
      <c r="A418" s="42" t="s">
        <v>258</v>
      </c>
      <c r="B418" s="59">
        <v>4400</v>
      </c>
      <c r="C418" s="59"/>
      <c r="D418" s="43"/>
      <c r="E418" s="44"/>
      <c r="F418" s="62"/>
      <c r="G418" s="62"/>
      <c r="Q418" s="82"/>
      <c r="R418" s="62"/>
    </row>
    <row r="419" spans="1:18" s="61" customFormat="1" x14ac:dyDescent="0.25">
      <c r="A419" s="42" t="s">
        <v>259</v>
      </c>
      <c r="B419" s="59">
        <v>5000</v>
      </c>
      <c r="C419" s="59"/>
      <c r="D419" s="43"/>
      <c r="E419" s="44"/>
      <c r="F419" s="62"/>
      <c r="G419" s="62"/>
      <c r="Q419" s="82"/>
      <c r="R419" s="62"/>
    </row>
    <row r="420" spans="1:18" s="61" customFormat="1" x14ac:dyDescent="0.25">
      <c r="A420" s="42" t="s">
        <v>260</v>
      </c>
      <c r="B420" s="59">
        <v>8000</v>
      </c>
      <c r="C420" s="59"/>
      <c r="D420" s="43"/>
      <c r="E420" s="44"/>
      <c r="F420" s="62"/>
      <c r="G420" s="62"/>
      <c r="Q420" s="82"/>
      <c r="R420" s="62"/>
    </row>
    <row r="421" spans="1:18" s="61" customFormat="1" x14ac:dyDescent="0.25">
      <c r="A421" s="42" t="s">
        <v>261</v>
      </c>
      <c r="B421" s="59">
        <v>5000</v>
      </c>
      <c r="C421" s="59"/>
      <c r="D421" s="43"/>
      <c r="E421" s="44"/>
      <c r="F421" s="62"/>
      <c r="G421" s="62"/>
      <c r="Q421" s="82"/>
      <c r="R421" s="62"/>
    </row>
    <row r="422" spans="1:18" s="61" customFormat="1" x14ac:dyDescent="0.25">
      <c r="A422" s="42" t="s">
        <v>262</v>
      </c>
      <c r="B422" s="59">
        <v>7000</v>
      </c>
      <c r="C422" s="59"/>
      <c r="D422" s="43"/>
      <c r="E422" s="44"/>
      <c r="F422" s="62"/>
      <c r="G422" s="62"/>
      <c r="Q422" s="82"/>
      <c r="R422" s="62"/>
    </row>
    <row r="423" spans="1:18" s="61" customFormat="1" x14ac:dyDescent="0.25">
      <c r="A423" s="42" t="s">
        <v>263</v>
      </c>
      <c r="B423" s="59">
        <v>2500</v>
      </c>
      <c r="C423" s="59"/>
      <c r="D423" s="43"/>
      <c r="E423" s="44"/>
      <c r="F423" s="62"/>
      <c r="G423" s="62"/>
      <c r="Q423" s="82"/>
      <c r="R423" s="62"/>
    </row>
    <row r="424" spans="1:18" s="61" customFormat="1" x14ac:dyDescent="0.25">
      <c r="A424" s="42" t="s">
        <v>264</v>
      </c>
      <c r="B424" s="59">
        <v>1000</v>
      </c>
      <c r="C424" s="59"/>
      <c r="D424" s="43"/>
      <c r="E424" s="44"/>
      <c r="F424" s="62"/>
      <c r="G424" s="62"/>
      <c r="Q424" s="82"/>
      <c r="R424" s="62"/>
    </row>
    <row r="425" spans="1:18" s="61" customFormat="1" x14ac:dyDescent="0.25">
      <c r="A425" s="42" t="s">
        <v>265</v>
      </c>
      <c r="B425" s="59">
        <v>15000</v>
      </c>
      <c r="C425" s="59"/>
      <c r="D425" s="43"/>
      <c r="E425" s="44"/>
      <c r="F425" s="62"/>
      <c r="G425" s="62"/>
      <c r="Q425" s="82"/>
      <c r="R425" s="62"/>
    </row>
    <row r="426" spans="1:18" s="61" customFormat="1" x14ac:dyDescent="0.25">
      <c r="A426" s="42" t="s">
        <v>169</v>
      </c>
      <c r="B426" s="59">
        <v>15000</v>
      </c>
      <c r="C426" s="59"/>
      <c r="D426" s="43"/>
      <c r="E426" s="44"/>
      <c r="F426" s="62"/>
      <c r="G426" s="62"/>
      <c r="Q426" s="82"/>
      <c r="R426" s="62"/>
    </row>
    <row r="427" spans="1:18" s="61" customFormat="1" x14ac:dyDescent="0.25">
      <c r="A427" s="42" t="s">
        <v>266</v>
      </c>
      <c r="B427" s="59">
        <v>8000</v>
      </c>
      <c r="C427" s="59"/>
      <c r="D427" s="43"/>
      <c r="E427" s="44"/>
      <c r="F427" s="62"/>
      <c r="G427" s="62"/>
      <c r="Q427" s="82"/>
      <c r="R427" s="62"/>
    </row>
    <row r="428" spans="1:18" s="61" customFormat="1" x14ac:dyDescent="0.25">
      <c r="A428" s="42" t="s">
        <v>91</v>
      </c>
      <c r="B428" s="59">
        <v>3000</v>
      </c>
      <c r="C428" s="59"/>
      <c r="D428" s="43"/>
      <c r="E428" s="44"/>
      <c r="F428" s="62"/>
      <c r="G428" s="62"/>
      <c r="Q428" s="82"/>
      <c r="R428" s="62"/>
    </row>
    <row r="429" spans="1:18" s="61" customFormat="1" x14ac:dyDescent="0.25">
      <c r="A429" s="42" t="s">
        <v>267</v>
      </c>
      <c r="B429" s="59">
        <v>27000</v>
      </c>
      <c r="C429" s="59"/>
      <c r="D429" s="43"/>
      <c r="E429" s="44"/>
      <c r="F429" s="62"/>
      <c r="G429" s="62"/>
      <c r="Q429" s="82"/>
      <c r="R429" s="62"/>
    </row>
    <row r="430" spans="1:18" s="61" customFormat="1" x14ac:dyDescent="0.25">
      <c r="A430" s="42"/>
      <c r="B430" s="59"/>
      <c r="C430" s="59"/>
      <c r="D430" s="43"/>
      <c r="E430" s="44"/>
      <c r="F430" s="62"/>
      <c r="G430" s="62"/>
      <c r="Q430" s="82"/>
      <c r="R430" s="62"/>
    </row>
    <row r="431" spans="1:18" s="61" customFormat="1" x14ac:dyDescent="0.25">
      <c r="A431" s="42"/>
      <c r="B431" s="59"/>
      <c r="C431" s="59"/>
      <c r="D431" s="43"/>
      <c r="E431" s="44"/>
      <c r="F431" s="62"/>
      <c r="G431" s="62"/>
      <c r="Q431" s="82"/>
      <c r="R431" s="62"/>
    </row>
    <row r="432" spans="1:18" s="61" customFormat="1" x14ac:dyDescent="0.25">
      <c r="A432" s="42"/>
      <c r="B432" s="59"/>
      <c r="C432" s="59"/>
      <c r="D432" s="43"/>
      <c r="E432" s="44"/>
      <c r="F432" s="62"/>
      <c r="G432" s="62"/>
      <c r="Q432" s="82"/>
      <c r="R432" s="62"/>
    </row>
    <row r="433" spans="1:20" s="40" customFormat="1" x14ac:dyDescent="0.25">
      <c r="A433" s="42"/>
      <c r="B433" s="59"/>
      <c r="C433" s="59"/>
      <c r="D433" s="43"/>
      <c r="E433" s="44"/>
      <c r="F433" s="41"/>
      <c r="G433" s="41"/>
      <c r="Q433" s="80"/>
      <c r="R433" s="41"/>
    </row>
    <row r="434" spans="1:20" s="40" customFormat="1" ht="13" x14ac:dyDescent="0.25">
      <c r="A434" s="92" t="s">
        <v>147</v>
      </c>
      <c r="B434" s="59"/>
      <c r="C434" s="59"/>
      <c r="D434" s="43"/>
      <c r="E434" s="44"/>
      <c r="F434" s="41"/>
      <c r="G434" s="41"/>
      <c r="Q434" s="80"/>
      <c r="R434" s="41"/>
    </row>
    <row r="435" spans="1:20" x14ac:dyDescent="0.25">
      <c r="A435" s="42" t="s">
        <v>64</v>
      </c>
      <c r="B435" s="59">
        <v>60000</v>
      </c>
      <c r="F435" s="31"/>
      <c r="G435" s="31"/>
      <c r="Q435" s="97"/>
      <c r="R435" s="31"/>
      <c r="S435" s="18"/>
      <c r="T435" s="18"/>
    </row>
    <row r="436" spans="1:20" s="68" customFormat="1" x14ac:dyDescent="0.25">
      <c r="A436" s="42" t="s">
        <v>339</v>
      </c>
      <c r="B436" s="59">
        <v>137000</v>
      </c>
      <c r="F436" s="67"/>
      <c r="G436" s="67"/>
      <c r="Q436" s="96"/>
      <c r="R436" s="67"/>
    </row>
    <row r="437" spans="1:20" s="68" customFormat="1" x14ac:dyDescent="0.25">
      <c r="A437" s="42" t="s">
        <v>268</v>
      </c>
      <c r="B437" s="59">
        <v>74000</v>
      </c>
      <c r="F437" s="67"/>
      <c r="G437" s="67"/>
      <c r="Q437" s="96"/>
      <c r="R437" s="67"/>
    </row>
    <row r="438" spans="1:20" s="68" customFormat="1" x14ac:dyDescent="0.25">
      <c r="A438" s="42" t="s">
        <v>269</v>
      </c>
      <c r="B438" s="59">
        <v>19000</v>
      </c>
      <c r="F438" s="67"/>
      <c r="G438" s="67"/>
      <c r="Q438" s="96"/>
      <c r="R438" s="67"/>
    </row>
    <row r="439" spans="1:20" s="106" customFormat="1" x14ac:dyDescent="0.25">
      <c r="A439" s="100" t="s">
        <v>270</v>
      </c>
      <c r="B439" s="71">
        <v>75000</v>
      </c>
      <c r="F439" s="107"/>
      <c r="G439" s="107"/>
      <c r="Q439" s="108"/>
      <c r="R439" s="107"/>
    </row>
    <row r="440" spans="1:20" s="112" customFormat="1" x14ac:dyDescent="0.25">
      <c r="A440" s="110" t="s">
        <v>340</v>
      </c>
      <c r="B440" s="85">
        <v>26000</v>
      </c>
      <c r="F440" s="113"/>
      <c r="G440" s="113"/>
      <c r="Q440" s="114"/>
      <c r="R440" s="113"/>
    </row>
    <row r="441" spans="1:20" s="112" customFormat="1" x14ac:dyDescent="0.25">
      <c r="A441" s="110" t="s">
        <v>341</v>
      </c>
      <c r="B441" s="85">
        <v>12000</v>
      </c>
      <c r="F441" s="113"/>
      <c r="G441" s="113"/>
      <c r="Q441" s="114"/>
      <c r="R441" s="113"/>
    </row>
    <row r="442" spans="1:20" s="40" customFormat="1" x14ac:dyDescent="0.25">
      <c r="A442" s="42" t="s">
        <v>271</v>
      </c>
      <c r="B442" s="59">
        <v>9300</v>
      </c>
      <c r="F442" s="41"/>
      <c r="G442" s="41"/>
      <c r="Q442" s="80"/>
      <c r="R442" s="41"/>
    </row>
    <row r="443" spans="1:20" s="40" customFormat="1" x14ac:dyDescent="0.25">
      <c r="A443" s="42"/>
      <c r="B443" s="59"/>
      <c r="F443" s="41"/>
      <c r="G443" s="41"/>
      <c r="Q443" s="80"/>
      <c r="R443" s="41"/>
    </row>
    <row r="444" spans="1:20" s="40" customFormat="1" x14ac:dyDescent="0.25">
      <c r="A444" s="42"/>
      <c r="B444" s="59"/>
      <c r="F444" s="41"/>
      <c r="G444" s="41"/>
      <c r="Q444" s="80"/>
      <c r="R444" s="41"/>
    </row>
    <row r="445" spans="1:20" s="40" customFormat="1" x14ac:dyDescent="0.25">
      <c r="A445" s="42"/>
      <c r="B445" s="59"/>
      <c r="F445" s="41"/>
      <c r="G445" s="41"/>
      <c r="Q445" s="80"/>
      <c r="R445" s="41"/>
    </row>
    <row r="446" spans="1:20" x14ac:dyDescent="0.25">
      <c r="A446" s="42"/>
      <c r="B446" s="59"/>
      <c r="F446" s="31"/>
      <c r="G446" s="31"/>
      <c r="Q446" s="97"/>
      <c r="R446" s="31"/>
      <c r="S446" s="18"/>
      <c r="T446" s="18"/>
    </row>
    <row r="447" spans="1:20" x14ac:dyDescent="0.25">
      <c r="A447" s="42"/>
      <c r="B447" s="59"/>
      <c r="F447" s="31"/>
      <c r="G447" s="31"/>
      <c r="Q447" s="97"/>
      <c r="R447" s="31"/>
      <c r="S447" s="18"/>
      <c r="T447" s="18"/>
    </row>
    <row r="448" spans="1:20" x14ac:dyDescent="0.25">
      <c r="A448" s="42"/>
      <c r="B448" s="59"/>
      <c r="F448" s="31"/>
      <c r="G448" s="31"/>
      <c r="Q448" s="97"/>
      <c r="R448" s="31"/>
      <c r="S448" s="18"/>
      <c r="T448" s="18"/>
    </row>
    <row r="449" spans="1:20" s="40" customFormat="1" x14ac:dyDescent="0.25">
      <c r="A449" s="42"/>
      <c r="B449" s="59"/>
      <c r="C449" s="59"/>
      <c r="D449" s="43"/>
      <c r="E449" s="44"/>
      <c r="F449" s="41"/>
      <c r="G449" s="41"/>
      <c r="Q449" s="80"/>
      <c r="R449" s="41"/>
    </row>
    <row r="450" spans="1:20" s="40" customFormat="1" ht="13" x14ac:dyDescent="0.25">
      <c r="A450" s="36" t="s">
        <v>272</v>
      </c>
      <c r="B450" s="59"/>
      <c r="C450" s="59"/>
      <c r="D450" s="43"/>
      <c r="E450" s="44"/>
      <c r="F450" s="41"/>
      <c r="G450" s="41"/>
      <c r="Q450" s="80"/>
      <c r="R450" s="41"/>
    </row>
    <row r="451" spans="1:20" s="46" customFormat="1" ht="25" x14ac:dyDescent="0.25">
      <c r="A451" s="45" t="s">
        <v>273</v>
      </c>
      <c r="B451" s="50"/>
      <c r="C451" s="69"/>
      <c r="D451" s="47"/>
      <c r="E451" s="48"/>
      <c r="F451" s="50"/>
      <c r="G451" s="50"/>
      <c r="Q451" s="81"/>
      <c r="R451" s="50">
        <v>200</v>
      </c>
    </row>
    <row r="452" spans="1:20" s="40" customFormat="1" x14ac:dyDescent="0.25">
      <c r="A452" s="42" t="s">
        <v>256</v>
      </c>
      <c r="B452" s="59">
        <v>1000</v>
      </c>
      <c r="C452" s="59"/>
      <c r="D452" s="43"/>
      <c r="E452" s="44"/>
      <c r="F452" s="41"/>
      <c r="G452" s="41"/>
      <c r="Q452" s="80"/>
      <c r="R452" s="41"/>
    </row>
    <row r="453" spans="1:20" s="40" customFormat="1" x14ac:dyDescent="0.25">
      <c r="A453" s="42" t="s">
        <v>274</v>
      </c>
      <c r="B453" s="59">
        <v>1000</v>
      </c>
      <c r="C453" s="59"/>
      <c r="D453" s="43"/>
      <c r="E453" s="44"/>
      <c r="F453" s="41"/>
      <c r="G453" s="41"/>
      <c r="Q453" s="80"/>
      <c r="R453" s="41"/>
    </row>
    <row r="454" spans="1:20" s="88" customFormat="1" x14ac:dyDescent="0.25">
      <c r="A454" s="110" t="s">
        <v>342</v>
      </c>
      <c r="B454" s="87">
        <v>3300</v>
      </c>
      <c r="C454" s="85"/>
      <c r="D454" s="111"/>
      <c r="E454" s="86"/>
      <c r="F454" s="87"/>
      <c r="G454" s="87"/>
      <c r="Q454" s="89"/>
      <c r="R454" s="87"/>
    </row>
    <row r="455" spans="1:20" s="61" customFormat="1" ht="12" customHeight="1" x14ac:dyDescent="0.25">
      <c r="A455" s="42" t="s">
        <v>275</v>
      </c>
      <c r="B455" s="62">
        <v>1000</v>
      </c>
      <c r="C455" s="59"/>
      <c r="D455" s="43"/>
      <c r="E455" s="44"/>
      <c r="F455" s="62"/>
      <c r="G455" s="62"/>
      <c r="Q455" s="82"/>
      <c r="R455" s="62"/>
    </row>
    <row r="456" spans="1:20" s="61" customFormat="1" ht="25" x14ac:dyDescent="0.25">
      <c r="A456" s="42" t="s">
        <v>276</v>
      </c>
      <c r="B456" s="62">
        <v>190</v>
      </c>
      <c r="C456" s="59"/>
      <c r="D456" s="43"/>
      <c r="E456" s="44"/>
      <c r="F456" s="62"/>
      <c r="G456" s="62"/>
      <c r="Q456" s="82"/>
      <c r="R456" s="62"/>
    </row>
    <row r="457" spans="1:20" s="61" customFormat="1" x14ac:dyDescent="0.25">
      <c r="A457" s="42" t="s">
        <v>277</v>
      </c>
      <c r="B457" s="62">
        <v>700</v>
      </c>
      <c r="C457" s="59"/>
      <c r="D457" s="43"/>
      <c r="E457" s="44"/>
      <c r="F457" s="62"/>
      <c r="G457" s="62"/>
      <c r="Q457" s="82"/>
      <c r="R457" s="62"/>
    </row>
    <row r="458" spans="1:20" s="61" customFormat="1" x14ac:dyDescent="0.25">
      <c r="A458" s="42" t="s">
        <v>278</v>
      </c>
      <c r="B458" s="62">
        <v>900</v>
      </c>
      <c r="C458" s="59"/>
      <c r="D458" s="43"/>
      <c r="E458" s="44"/>
      <c r="F458" s="62"/>
      <c r="G458" s="62"/>
      <c r="Q458" s="82"/>
      <c r="R458" s="62"/>
    </row>
    <row r="459" spans="1:20" s="61" customFormat="1" x14ac:dyDescent="0.25">
      <c r="A459" s="42" t="s">
        <v>279</v>
      </c>
      <c r="B459" s="62">
        <v>4000</v>
      </c>
      <c r="C459" s="59"/>
      <c r="D459" s="43"/>
      <c r="E459" s="44"/>
      <c r="F459" s="62"/>
      <c r="G459" s="62"/>
      <c r="Q459" s="82"/>
      <c r="R459" s="62"/>
    </row>
    <row r="460" spans="1:20" s="61" customFormat="1" x14ac:dyDescent="0.25">
      <c r="A460" s="42" t="s">
        <v>280</v>
      </c>
      <c r="B460" s="62">
        <v>1000</v>
      </c>
      <c r="C460" s="59"/>
      <c r="D460" s="43"/>
      <c r="E460" s="44"/>
      <c r="F460" s="62"/>
      <c r="G460" s="62"/>
      <c r="Q460" s="82"/>
      <c r="R460" s="62"/>
    </row>
    <row r="461" spans="1:20" s="61" customFormat="1" x14ac:dyDescent="0.25">
      <c r="A461" s="42" t="s">
        <v>223</v>
      </c>
      <c r="B461" s="62">
        <v>700</v>
      </c>
      <c r="C461" s="59"/>
      <c r="D461" s="43"/>
      <c r="E461" s="44"/>
      <c r="F461" s="62"/>
      <c r="G461" s="62"/>
      <c r="Q461" s="82"/>
      <c r="R461" s="62"/>
    </row>
    <row r="462" spans="1:20" s="61" customFormat="1" x14ac:dyDescent="0.25">
      <c r="A462" s="42"/>
      <c r="B462" s="62"/>
      <c r="C462" s="59"/>
      <c r="D462" s="43"/>
      <c r="E462" s="44"/>
      <c r="F462" s="62"/>
      <c r="G462" s="62"/>
      <c r="Q462" s="82"/>
      <c r="R462" s="62"/>
    </row>
    <row r="463" spans="1:20" s="61" customFormat="1" x14ac:dyDescent="0.25">
      <c r="A463" s="42"/>
      <c r="B463" s="62"/>
      <c r="C463" s="59"/>
      <c r="D463" s="43"/>
      <c r="E463" s="44"/>
      <c r="F463" s="62"/>
      <c r="G463" s="62"/>
      <c r="Q463" s="82"/>
      <c r="R463" s="62"/>
    </row>
    <row r="464" spans="1:20" x14ac:dyDescent="0.25">
      <c r="F464" s="31"/>
      <c r="G464" s="31"/>
      <c r="Q464" s="97"/>
      <c r="R464" s="31"/>
      <c r="S464" s="18"/>
      <c r="T464" s="18"/>
    </row>
    <row r="465" spans="1:18" s="40" customFormat="1" ht="13" x14ac:dyDescent="0.25">
      <c r="A465" s="51"/>
      <c r="B465" s="52">
        <f>SUM(B407:B464)</f>
        <v>645890</v>
      </c>
      <c r="C465" s="52">
        <f>SUM(C407:C464)</f>
        <v>0</v>
      </c>
      <c r="D465" s="52">
        <f>SUM(D407:D464)</f>
        <v>0</v>
      </c>
      <c r="E465" s="53">
        <f>B465+D465</f>
        <v>645890</v>
      </c>
      <c r="F465" s="52">
        <f>E465*E466</f>
        <v>322945</v>
      </c>
      <c r="G465" s="52">
        <f>SUM(G407:G464)</f>
        <v>0</v>
      </c>
      <c r="P465" s="84">
        <f>E465*E466</f>
        <v>322945</v>
      </c>
      <c r="Q465" s="80"/>
      <c r="R465" s="52">
        <f>SUM(R407:R464)</f>
        <v>200</v>
      </c>
    </row>
    <row r="466" spans="1:18" s="40" customFormat="1" ht="13" x14ac:dyDescent="0.25">
      <c r="A466" s="51"/>
      <c r="B466" s="58"/>
      <c r="C466" s="58"/>
      <c r="D466" s="58"/>
      <c r="E466" s="54">
        <v>0.5</v>
      </c>
      <c r="F466" s="41"/>
      <c r="G466" s="41"/>
      <c r="Q466" s="80"/>
      <c r="R466" s="41"/>
    </row>
    <row r="467" spans="1:18" s="40" customFormat="1" ht="13" x14ac:dyDescent="0.25">
      <c r="A467" s="36" t="s">
        <v>110</v>
      </c>
      <c r="B467" s="43"/>
      <c r="C467" s="59"/>
      <c r="D467" s="43"/>
      <c r="E467" s="44"/>
      <c r="F467" s="41"/>
      <c r="G467" s="41"/>
      <c r="Q467" s="80"/>
      <c r="R467" s="41"/>
    </row>
    <row r="468" spans="1:18" s="40" customFormat="1" ht="13" x14ac:dyDescent="0.25">
      <c r="A468" s="36" t="s">
        <v>206</v>
      </c>
      <c r="B468" s="43"/>
      <c r="C468" s="59"/>
      <c r="D468" s="43"/>
      <c r="E468" s="44"/>
      <c r="F468" s="41"/>
      <c r="G468" s="41"/>
      <c r="Q468" s="80"/>
      <c r="R468" s="41"/>
    </row>
    <row r="469" spans="1:18" s="40" customFormat="1" x14ac:dyDescent="0.25">
      <c r="A469" s="42" t="s">
        <v>111</v>
      </c>
      <c r="B469" s="43">
        <v>4000</v>
      </c>
      <c r="C469" s="59"/>
      <c r="D469" s="59">
        <f>C469*9700/1000000</f>
        <v>0</v>
      </c>
      <c r="E469" s="44"/>
      <c r="F469" s="41"/>
      <c r="G469" s="41"/>
      <c r="Q469" s="80"/>
      <c r="R469" s="41"/>
    </row>
    <row r="470" spans="1:18" s="61" customFormat="1" x14ac:dyDescent="0.25">
      <c r="A470" s="42" t="s">
        <v>281</v>
      </c>
      <c r="B470" s="43">
        <v>2000</v>
      </c>
      <c r="C470" s="59"/>
      <c r="D470" s="59"/>
      <c r="E470" s="44"/>
      <c r="F470" s="62"/>
      <c r="G470" s="62"/>
      <c r="Q470" s="82"/>
      <c r="R470" s="43"/>
    </row>
    <row r="471" spans="1:18" s="61" customFormat="1" x14ac:dyDescent="0.25">
      <c r="A471" s="42" t="s">
        <v>282</v>
      </c>
      <c r="B471" s="62">
        <v>2000</v>
      </c>
      <c r="C471" s="59"/>
      <c r="D471" s="59"/>
      <c r="E471" s="44"/>
      <c r="F471" s="62"/>
      <c r="G471" s="62"/>
      <c r="Q471" s="82"/>
      <c r="R471" s="62"/>
    </row>
    <row r="472" spans="1:18" s="61" customFormat="1" x14ac:dyDescent="0.25">
      <c r="A472" s="42" t="s">
        <v>283</v>
      </c>
      <c r="B472" s="62">
        <v>1500</v>
      </c>
      <c r="C472" s="59"/>
      <c r="D472" s="59"/>
      <c r="E472" s="44"/>
      <c r="F472" s="62"/>
      <c r="G472" s="62"/>
      <c r="Q472" s="82"/>
      <c r="R472" s="62"/>
    </row>
    <row r="473" spans="1:18" s="61" customFormat="1" x14ac:dyDescent="0.25">
      <c r="A473" s="42" t="s">
        <v>284</v>
      </c>
      <c r="B473" s="62">
        <v>2500</v>
      </c>
      <c r="C473" s="59"/>
      <c r="D473" s="59"/>
      <c r="E473" s="44"/>
      <c r="F473" s="62"/>
      <c r="G473" s="62"/>
      <c r="Q473" s="82"/>
      <c r="R473" s="62"/>
    </row>
    <row r="474" spans="1:18" s="61" customFormat="1" x14ac:dyDescent="0.25">
      <c r="A474" s="42" t="s">
        <v>285</v>
      </c>
      <c r="B474" s="62">
        <v>7000</v>
      </c>
      <c r="C474" s="59"/>
      <c r="D474" s="59"/>
      <c r="E474" s="44"/>
      <c r="F474" s="62"/>
      <c r="G474" s="62"/>
      <c r="Q474" s="82"/>
      <c r="R474" s="62"/>
    </row>
    <row r="475" spans="1:18" s="61" customFormat="1" x14ac:dyDescent="0.25">
      <c r="A475" s="42" t="s">
        <v>286</v>
      </c>
      <c r="B475" s="62">
        <v>210</v>
      </c>
      <c r="C475" s="59"/>
      <c r="D475" s="59"/>
      <c r="E475" s="44"/>
      <c r="F475" s="62"/>
      <c r="G475" s="62"/>
      <c r="Q475" s="82"/>
      <c r="R475" s="62"/>
    </row>
    <row r="476" spans="1:18" s="61" customFormat="1" x14ac:dyDescent="0.25">
      <c r="A476" s="42" t="s">
        <v>287</v>
      </c>
      <c r="B476" s="62">
        <v>1700</v>
      </c>
      <c r="C476" s="59"/>
      <c r="D476" s="59"/>
      <c r="E476" s="44"/>
      <c r="F476" s="62"/>
      <c r="G476" s="62"/>
      <c r="Q476" s="82"/>
      <c r="R476" s="62"/>
    </row>
    <row r="477" spans="1:18" s="61" customFormat="1" x14ac:dyDescent="0.25">
      <c r="A477" s="42" t="s">
        <v>288</v>
      </c>
      <c r="B477" s="62">
        <v>1000</v>
      </c>
      <c r="C477" s="59"/>
      <c r="D477" s="59"/>
      <c r="E477" s="44"/>
      <c r="F477" s="62"/>
      <c r="G477" s="62"/>
      <c r="Q477" s="82"/>
      <c r="R477" s="62"/>
    </row>
    <row r="478" spans="1:18" s="61" customFormat="1" x14ac:dyDescent="0.25">
      <c r="A478" s="42" t="s">
        <v>289</v>
      </c>
      <c r="B478" s="62">
        <v>3000</v>
      </c>
      <c r="C478" s="59"/>
      <c r="D478" s="59"/>
      <c r="E478" s="44"/>
      <c r="F478" s="62"/>
      <c r="G478" s="62"/>
      <c r="Q478" s="82"/>
      <c r="R478" s="62"/>
    </row>
    <row r="479" spans="1:18" s="61" customFormat="1" x14ac:dyDescent="0.25">
      <c r="A479" s="42" t="s">
        <v>290</v>
      </c>
      <c r="B479" s="62">
        <v>4000</v>
      </c>
      <c r="C479" s="59"/>
      <c r="D479" s="59"/>
      <c r="E479" s="44"/>
      <c r="F479" s="62"/>
      <c r="G479" s="62"/>
      <c r="Q479" s="82"/>
      <c r="R479" s="62"/>
    </row>
    <row r="480" spans="1:18" s="61" customFormat="1" x14ac:dyDescent="0.25">
      <c r="A480" s="42" t="s">
        <v>291</v>
      </c>
      <c r="B480" s="62">
        <v>400</v>
      </c>
      <c r="C480" s="59"/>
      <c r="D480" s="59"/>
      <c r="E480" s="44"/>
      <c r="F480" s="62"/>
      <c r="G480" s="62"/>
      <c r="Q480" s="82"/>
      <c r="R480" s="62"/>
    </row>
    <row r="481" spans="1:18" s="61" customFormat="1" x14ac:dyDescent="0.25">
      <c r="A481" s="42"/>
      <c r="B481" s="62"/>
      <c r="C481" s="59"/>
      <c r="D481" s="59"/>
      <c r="E481" s="44"/>
      <c r="F481" s="62"/>
      <c r="G481" s="62"/>
      <c r="Q481" s="82"/>
      <c r="R481" s="62"/>
    </row>
    <row r="482" spans="1:18" s="61" customFormat="1" x14ac:dyDescent="0.25">
      <c r="A482" s="42"/>
      <c r="B482" s="62"/>
      <c r="C482" s="59"/>
      <c r="D482" s="59"/>
      <c r="E482" s="44"/>
      <c r="F482" s="62"/>
      <c r="G482" s="62"/>
      <c r="Q482" s="82"/>
      <c r="R482" s="62"/>
    </row>
    <row r="483" spans="1:18" s="61" customFormat="1" x14ac:dyDescent="0.25">
      <c r="A483" s="42"/>
      <c r="B483" s="62"/>
      <c r="C483" s="59"/>
      <c r="D483" s="59"/>
      <c r="E483" s="44"/>
      <c r="F483" s="62"/>
      <c r="G483" s="62"/>
      <c r="Q483" s="82"/>
      <c r="R483" s="62"/>
    </row>
    <row r="484" spans="1:18" s="61" customFormat="1" ht="13" x14ac:dyDescent="0.25">
      <c r="A484" s="36" t="s">
        <v>272</v>
      </c>
      <c r="B484" s="62"/>
      <c r="C484" s="59"/>
      <c r="D484" s="59"/>
      <c r="E484" s="44"/>
      <c r="F484" s="62"/>
      <c r="G484" s="62"/>
      <c r="Q484" s="82"/>
      <c r="R484" s="62"/>
    </row>
    <row r="485" spans="1:18" s="61" customFormat="1" x14ac:dyDescent="0.25">
      <c r="A485" s="42" t="s">
        <v>292</v>
      </c>
      <c r="B485" s="62">
        <v>300</v>
      </c>
      <c r="C485" s="59"/>
      <c r="D485" s="59"/>
      <c r="E485" s="44"/>
      <c r="F485" s="62"/>
      <c r="G485" s="62"/>
      <c r="Q485" s="82"/>
      <c r="R485" s="62"/>
    </row>
    <row r="486" spans="1:18" s="61" customFormat="1" x14ac:dyDescent="0.25">
      <c r="A486" s="42" t="s">
        <v>293</v>
      </c>
      <c r="B486" s="62">
        <v>300</v>
      </c>
      <c r="C486" s="59"/>
      <c r="D486" s="59"/>
      <c r="E486" s="44"/>
      <c r="F486" s="62"/>
      <c r="G486" s="62"/>
      <c r="Q486" s="82"/>
      <c r="R486" s="62"/>
    </row>
    <row r="487" spans="1:18" s="61" customFormat="1" x14ac:dyDescent="0.25">
      <c r="A487" s="42" t="s">
        <v>294</v>
      </c>
      <c r="B487" s="62">
        <v>100</v>
      </c>
      <c r="C487" s="59"/>
      <c r="D487" s="59"/>
      <c r="E487" s="44"/>
      <c r="F487" s="62"/>
      <c r="G487" s="62"/>
      <c r="Q487" s="82"/>
      <c r="R487" s="62"/>
    </row>
    <row r="488" spans="1:18" s="61" customFormat="1" x14ac:dyDescent="0.25">
      <c r="A488" s="42" t="s">
        <v>295</v>
      </c>
      <c r="B488" s="62">
        <v>1400</v>
      </c>
      <c r="C488" s="59"/>
      <c r="D488" s="59"/>
      <c r="E488" s="44"/>
      <c r="F488" s="62"/>
      <c r="G488" s="62"/>
      <c r="Q488" s="82"/>
      <c r="R488" s="62"/>
    </row>
    <row r="489" spans="1:18" s="61" customFormat="1" x14ac:dyDescent="0.25">
      <c r="A489" s="42" t="s">
        <v>296</v>
      </c>
      <c r="B489" s="62">
        <v>700</v>
      </c>
      <c r="C489" s="59"/>
      <c r="D489" s="59"/>
      <c r="E489" s="44"/>
      <c r="F489" s="62"/>
      <c r="G489" s="62"/>
      <c r="Q489" s="82"/>
      <c r="R489" s="62"/>
    </row>
    <row r="490" spans="1:18" s="61" customFormat="1" x14ac:dyDescent="0.25">
      <c r="A490" s="42" t="s">
        <v>297</v>
      </c>
      <c r="B490" s="62">
        <v>1000</v>
      </c>
      <c r="C490" s="59"/>
      <c r="D490" s="59"/>
      <c r="E490" s="44"/>
      <c r="F490" s="62"/>
      <c r="G490" s="62"/>
      <c r="Q490" s="82"/>
      <c r="R490" s="62"/>
    </row>
    <row r="491" spans="1:18" s="61" customFormat="1" x14ac:dyDescent="0.25">
      <c r="A491" s="42" t="s">
        <v>298</v>
      </c>
      <c r="B491" s="62">
        <v>1000</v>
      </c>
      <c r="C491" s="59"/>
      <c r="D491" s="59"/>
      <c r="E491" s="44"/>
      <c r="F491" s="62"/>
      <c r="G491" s="62"/>
      <c r="Q491" s="82"/>
      <c r="R491" s="62"/>
    </row>
    <row r="492" spans="1:18" s="61" customFormat="1" x14ac:dyDescent="0.25">
      <c r="A492" s="42" t="s">
        <v>299</v>
      </c>
      <c r="B492" s="62">
        <v>75</v>
      </c>
      <c r="C492" s="59"/>
      <c r="D492" s="59"/>
      <c r="E492" s="44"/>
      <c r="F492" s="62"/>
      <c r="G492" s="62"/>
      <c r="Q492" s="82"/>
      <c r="R492" s="62"/>
    </row>
    <row r="493" spans="1:18" s="61" customFormat="1" x14ac:dyDescent="0.25">
      <c r="A493" s="42" t="s">
        <v>300</v>
      </c>
      <c r="B493" s="62">
        <v>100</v>
      </c>
      <c r="C493" s="59"/>
      <c r="D493" s="59"/>
      <c r="E493" s="44"/>
      <c r="F493" s="62"/>
      <c r="G493" s="62"/>
      <c r="Q493" s="82"/>
      <c r="R493" s="62"/>
    </row>
    <row r="494" spans="1:18" s="61" customFormat="1" x14ac:dyDescent="0.25">
      <c r="A494" s="42" t="s">
        <v>301</v>
      </c>
      <c r="B494" s="62">
        <v>75</v>
      </c>
      <c r="C494" s="59"/>
      <c r="D494" s="59"/>
      <c r="E494" s="44"/>
      <c r="F494" s="62"/>
      <c r="G494" s="62"/>
      <c r="Q494" s="82"/>
      <c r="R494" s="62"/>
    </row>
    <row r="495" spans="1:18" s="61" customFormat="1" x14ac:dyDescent="0.25">
      <c r="A495" s="42"/>
      <c r="B495" s="43"/>
      <c r="C495" s="59"/>
      <c r="D495" s="59"/>
      <c r="E495" s="44"/>
      <c r="F495" s="62"/>
      <c r="G495" s="62"/>
      <c r="Q495" s="82"/>
      <c r="R495" s="62"/>
    </row>
    <row r="496" spans="1:18" s="61" customFormat="1" x14ac:dyDescent="0.25">
      <c r="A496" s="42"/>
      <c r="B496" s="43"/>
      <c r="C496" s="59"/>
      <c r="D496" s="59"/>
      <c r="E496" s="44"/>
      <c r="F496" s="62"/>
      <c r="G496" s="62"/>
      <c r="Q496" s="82"/>
      <c r="R496" s="62"/>
    </row>
    <row r="497" spans="1:18" s="40" customFormat="1" x14ac:dyDescent="0.25">
      <c r="A497" s="42"/>
      <c r="B497" s="43"/>
      <c r="C497" s="59"/>
      <c r="D497" s="43"/>
      <c r="E497" s="44"/>
      <c r="F497" s="41"/>
      <c r="G497" s="41"/>
      <c r="Q497" s="80"/>
      <c r="R497" s="41"/>
    </row>
    <row r="498" spans="1:18" s="40" customFormat="1" ht="13" x14ac:dyDescent="0.25">
      <c r="A498" s="51"/>
      <c r="B498" s="52">
        <f>SUM(B469:B497)</f>
        <v>34360</v>
      </c>
      <c r="C498" s="52">
        <f>SUM(C469:C497)</f>
        <v>0</v>
      </c>
      <c r="D498" s="52">
        <f>SUM(D469:D497)</f>
        <v>0</v>
      </c>
      <c r="E498" s="53">
        <f>B498+D498</f>
        <v>34360</v>
      </c>
      <c r="F498" s="52">
        <f>E498*E499</f>
        <v>25770</v>
      </c>
      <c r="G498" s="52">
        <f>SUM(G469:G497)</f>
        <v>0</v>
      </c>
      <c r="H498" s="53"/>
      <c r="P498" s="84">
        <f>E498*E499</f>
        <v>25770</v>
      </c>
      <c r="Q498" s="80"/>
      <c r="R498" s="52">
        <f>SUM(R469:R497)</f>
        <v>0</v>
      </c>
    </row>
    <row r="499" spans="1:18" s="40" customFormat="1" ht="13" x14ac:dyDescent="0.25">
      <c r="A499" s="51"/>
      <c r="B499" s="58"/>
      <c r="C499" s="58"/>
      <c r="D499" s="58"/>
      <c r="E499" s="54">
        <v>0.75</v>
      </c>
      <c r="F499" s="41"/>
      <c r="G499" s="41"/>
      <c r="Q499" s="80"/>
      <c r="R499" s="41"/>
    </row>
    <row r="500" spans="1:18" s="40" customFormat="1" ht="13" x14ac:dyDescent="0.25">
      <c r="A500" s="36" t="s">
        <v>126</v>
      </c>
      <c r="B500" s="58"/>
      <c r="C500" s="58"/>
      <c r="D500" s="58"/>
      <c r="E500" s="55"/>
      <c r="F500" s="41"/>
      <c r="G500" s="41"/>
      <c r="Q500" s="80"/>
      <c r="R500" s="41"/>
    </row>
    <row r="501" spans="1:18" s="40" customFormat="1" ht="13" x14ac:dyDescent="0.25">
      <c r="A501" s="36" t="s">
        <v>206</v>
      </c>
      <c r="B501" s="58"/>
      <c r="C501" s="58"/>
      <c r="D501" s="58"/>
      <c r="E501" s="55"/>
      <c r="F501" s="41"/>
      <c r="G501" s="41"/>
      <c r="Q501" s="80"/>
      <c r="R501" s="41"/>
    </row>
    <row r="502" spans="1:18" s="40" customFormat="1" ht="13" x14ac:dyDescent="0.25">
      <c r="A502" s="42" t="s">
        <v>302</v>
      </c>
      <c r="B502" s="43">
        <v>21000</v>
      </c>
      <c r="C502" s="43"/>
      <c r="D502" s="43">
        <f t="shared" ref="D502" si="17">C502*13000/1000000</f>
        <v>0</v>
      </c>
      <c r="E502" s="55"/>
      <c r="F502" s="41"/>
      <c r="G502" s="41"/>
      <c r="Q502" s="80"/>
      <c r="R502" s="41"/>
    </row>
    <row r="503" spans="1:18" s="88" customFormat="1" ht="13" x14ac:dyDescent="0.25">
      <c r="A503" s="110" t="s">
        <v>343</v>
      </c>
      <c r="B503" s="111">
        <v>900</v>
      </c>
      <c r="C503" s="111"/>
      <c r="D503" s="111">
        <f>C503*13000/1000000</f>
        <v>0</v>
      </c>
      <c r="E503" s="115"/>
      <c r="F503" s="87"/>
      <c r="G503" s="87"/>
      <c r="Q503" s="89"/>
      <c r="R503" s="87"/>
    </row>
    <row r="504" spans="1:18" s="40" customFormat="1" ht="13" x14ac:dyDescent="0.25">
      <c r="A504" s="42" t="s">
        <v>303</v>
      </c>
      <c r="B504" s="43">
        <v>3000</v>
      </c>
      <c r="C504" s="43"/>
      <c r="D504" s="43">
        <f t="shared" ref="D504:D510" si="18">C504*13000/1000000</f>
        <v>0</v>
      </c>
      <c r="E504" s="55"/>
      <c r="F504" s="41"/>
      <c r="G504" s="41"/>
      <c r="Q504" s="80"/>
      <c r="R504" s="41">
        <v>1000</v>
      </c>
    </row>
    <row r="505" spans="1:18" s="40" customFormat="1" ht="13" x14ac:dyDescent="0.25">
      <c r="A505" s="42" t="s">
        <v>304</v>
      </c>
      <c r="B505" s="43">
        <v>7000</v>
      </c>
      <c r="C505" s="43"/>
      <c r="D505" s="43">
        <f t="shared" si="18"/>
        <v>0</v>
      </c>
      <c r="E505" s="55"/>
      <c r="F505" s="41"/>
      <c r="G505" s="41"/>
      <c r="Q505" s="80"/>
      <c r="R505" s="41"/>
    </row>
    <row r="506" spans="1:18" s="40" customFormat="1" ht="13" x14ac:dyDescent="0.25">
      <c r="A506" s="42" t="s">
        <v>305</v>
      </c>
      <c r="B506" s="43">
        <v>22000</v>
      </c>
      <c r="C506" s="43"/>
      <c r="D506" s="43">
        <f t="shared" si="18"/>
        <v>0</v>
      </c>
      <c r="E506" s="55"/>
      <c r="F506" s="41"/>
      <c r="G506" s="41"/>
      <c r="Q506" s="80"/>
      <c r="R506" s="41"/>
    </row>
    <row r="507" spans="1:18" s="40" customFormat="1" ht="13" x14ac:dyDescent="0.25">
      <c r="A507" s="42" t="s">
        <v>306</v>
      </c>
      <c r="B507" s="43">
        <v>450</v>
      </c>
      <c r="C507" s="43"/>
      <c r="D507" s="43">
        <f t="shared" si="18"/>
        <v>0</v>
      </c>
      <c r="E507" s="55"/>
      <c r="F507" s="41"/>
      <c r="G507" s="41"/>
      <c r="Q507" s="80"/>
      <c r="R507" s="41"/>
    </row>
    <row r="508" spans="1:18" s="112" customFormat="1" ht="13" x14ac:dyDescent="0.25">
      <c r="A508" s="110" t="s">
        <v>338</v>
      </c>
      <c r="B508" s="111">
        <v>2500</v>
      </c>
      <c r="C508" s="111"/>
      <c r="D508" s="111">
        <f t="shared" si="18"/>
        <v>0</v>
      </c>
      <c r="E508" s="115"/>
      <c r="F508" s="113"/>
      <c r="G508" s="113"/>
      <c r="Q508" s="114"/>
      <c r="R508" s="113"/>
    </row>
    <row r="509" spans="1:18" s="46" customFormat="1" ht="13" x14ac:dyDescent="0.25">
      <c r="A509" s="45" t="s">
        <v>307</v>
      </c>
      <c r="B509" s="47"/>
      <c r="C509" s="47"/>
      <c r="D509" s="47">
        <f t="shared" si="18"/>
        <v>0</v>
      </c>
      <c r="E509" s="109"/>
      <c r="F509" s="50"/>
      <c r="G509" s="50"/>
      <c r="Q509" s="81"/>
      <c r="R509" s="50">
        <v>250</v>
      </c>
    </row>
    <row r="510" spans="1:18" s="46" customFormat="1" ht="13" x14ac:dyDescent="0.25">
      <c r="A510" s="45" t="s">
        <v>307</v>
      </c>
      <c r="B510" s="47"/>
      <c r="C510" s="47"/>
      <c r="D510" s="47">
        <f t="shared" si="18"/>
        <v>0</v>
      </c>
      <c r="E510" s="109"/>
      <c r="F510" s="50"/>
      <c r="G510" s="50"/>
      <c r="Q510" s="81"/>
      <c r="R510" s="50">
        <v>500</v>
      </c>
    </row>
    <row r="511" spans="1:18" s="46" customFormat="1" ht="25" x14ac:dyDescent="0.25">
      <c r="A511" s="45" t="s">
        <v>308</v>
      </c>
      <c r="B511" s="47"/>
      <c r="C511" s="47"/>
      <c r="D511" s="47"/>
      <c r="E511" s="109"/>
      <c r="F511" s="50"/>
      <c r="G511" s="50"/>
      <c r="Q511" s="81"/>
      <c r="R511" s="50">
        <v>60</v>
      </c>
    </row>
    <row r="512" spans="1:18" s="40" customFormat="1" ht="25" x14ac:dyDescent="0.25">
      <c r="A512" s="42" t="s">
        <v>309</v>
      </c>
      <c r="B512" s="43">
        <v>2500</v>
      </c>
      <c r="C512" s="43"/>
      <c r="D512" s="43">
        <f t="shared" ref="D512:D526" si="19">C512*13000/1000000</f>
        <v>0</v>
      </c>
      <c r="E512" s="55"/>
      <c r="F512" s="41"/>
      <c r="G512" s="41"/>
      <c r="Q512" s="80"/>
      <c r="R512" s="41"/>
    </row>
    <row r="513" spans="1:18" s="40" customFormat="1" ht="13" x14ac:dyDescent="0.25">
      <c r="A513" s="42" t="s">
        <v>310</v>
      </c>
      <c r="B513" s="43">
        <v>1200</v>
      </c>
      <c r="C513" s="43"/>
      <c r="D513" s="43">
        <f t="shared" si="19"/>
        <v>0</v>
      </c>
      <c r="E513" s="55"/>
      <c r="F513" s="41"/>
      <c r="G513" s="41"/>
      <c r="Q513" s="80"/>
      <c r="R513" s="41"/>
    </row>
    <row r="514" spans="1:18" s="40" customFormat="1" ht="13" x14ac:dyDescent="0.25">
      <c r="A514" s="42" t="s">
        <v>311</v>
      </c>
      <c r="B514" s="43">
        <v>1300</v>
      </c>
      <c r="C514" s="43"/>
      <c r="D514" s="43">
        <f t="shared" si="19"/>
        <v>0</v>
      </c>
      <c r="E514" s="55"/>
      <c r="F514" s="41"/>
      <c r="G514" s="41"/>
      <c r="Q514" s="80"/>
      <c r="R514" s="41"/>
    </row>
    <row r="515" spans="1:18" s="40" customFormat="1" ht="13" x14ac:dyDescent="0.25">
      <c r="A515" s="42" t="s">
        <v>312</v>
      </c>
      <c r="B515" s="43">
        <v>1000</v>
      </c>
      <c r="C515" s="43"/>
      <c r="D515" s="43">
        <f t="shared" si="19"/>
        <v>0</v>
      </c>
      <c r="E515" s="55"/>
      <c r="F515" s="41"/>
      <c r="G515" s="41"/>
      <c r="Q515" s="80"/>
      <c r="R515" s="41"/>
    </row>
    <row r="516" spans="1:18" s="40" customFormat="1" ht="13" x14ac:dyDescent="0.25">
      <c r="A516" s="42" t="s">
        <v>313</v>
      </c>
      <c r="B516" s="43">
        <v>1000</v>
      </c>
      <c r="C516" s="43"/>
      <c r="D516" s="43">
        <f t="shared" si="19"/>
        <v>0</v>
      </c>
      <c r="E516" s="55"/>
      <c r="F516" s="41"/>
      <c r="G516" s="41"/>
      <c r="Q516" s="80"/>
      <c r="R516" s="41"/>
    </row>
    <row r="517" spans="1:18" s="40" customFormat="1" ht="13" x14ac:dyDescent="0.25">
      <c r="A517" s="42" t="s">
        <v>314</v>
      </c>
      <c r="B517" s="43">
        <v>6000</v>
      </c>
      <c r="C517" s="43"/>
      <c r="D517" s="43">
        <f t="shared" si="19"/>
        <v>0</v>
      </c>
      <c r="E517" s="55"/>
      <c r="F517" s="41"/>
      <c r="G517" s="41"/>
      <c r="Q517" s="80"/>
      <c r="R517" s="41"/>
    </row>
    <row r="518" spans="1:18" s="40" customFormat="1" ht="13" x14ac:dyDescent="0.25">
      <c r="A518" s="42" t="s">
        <v>315</v>
      </c>
      <c r="B518" s="43">
        <v>2000</v>
      </c>
      <c r="C518" s="43"/>
      <c r="D518" s="43">
        <f t="shared" si="19"/>
        <v>0</v>
      </c>
      <c r="E518" s="55"/>
      <c r="F518" s="41"/>
      <c r="G518" s="41"/>
      <c r="Q518" s="80"/>
      <c r="R518" s="41"/>
    </row>
    <row r="519" spans="1:18" s="40" customFormat="1" ht="25" x14ac:dyDescent="0.25">
      <c r="A519" s="42" t="s">
        <v>316</v>
      </c>
      <c r="B519" s="43">
        <v>16000</v>
      </c>
      <c r="C519" s="43"/>
      <c r="D519" s="43">
        <f t="shared" si="19"/>
        <v>0</v>
      </c>
      <c r="E519" s="55"/>
      <c r="F519" s="41"/>
      <c r="G519" s="41"/>
      <c r="Q519" s="80"/>
      <c r="R519" s="41"/>
    </row>
    <row r="520" spans="1:18" s="40" customFormat="1" ht="13" x14ac:dyDescent="0.25">
      <c r="A520" s="42" t="s">
        <v>317</v>
      </c>
      <c r="B520" s="43">
        <v>5000</v>
      </c>
      <c r="C520" s="43"/>
      <c r="D520" s="43">
        <f t="shared" si="19"/>
        <v>0</v>
      </c>
      <c r="E520" s="55"/>
      <c r="F520" s="41"/>
      <c r="G520" s="41"/>
      <c r="Q520" s="80"/>
      <c r="R520" s="41"/>
    </row>
    <row r="521" spans="1:18" s="40" customFormat="1" ht="13" x14ac:dyDescent="0.25">
      <c r="A521" s="42" t="s">
        <v>318</v>
      </c>
      <c r="B521" s="43">
        <v>2000</v>
      </c>
      <c r="C521" s="43"/>
      <c r="D521" s="43">
        <f t="shared" si="19"/>
        <v>0</v>
      </c>
      <c r="E521" s="55"/>
      <c r="F521" s="41"/>
      <c r="G521" s="41"/>
      <c r="Q521" s="80"/>
      <c r="R521" s="41"/>
    </row>
    <row r="522" spans="1:18" s="40" customFormat="1" ht="13" x14ac:dyDescent="0.25">
      <c r="A522" s="42" t="s">
        <v>319</v>
      </c>
      <c r="B522" s="43">
        <v>2300</v>
      </c>
      <c r="C522" s="43"/>
      <c r="D522" s="43">
        <f t="shared" si="19"/>
        <v>0</v>
      </c>
      <c r="E522" s="55"/>
      <c r="F522" s="41"/>
      <c r="G522" s="41"/>
      <c r="Q522" s="80"/>
      <c r="R522" s="41"/>
    </row>
    <row r="523" spans="1:18" s="40" customFormat="1" ht="13" x14ac:dyDescent="0.25">
      <c r="A523" s="42" t="s">
        <v>320</v>
      </c>
      <c r="B523" s="43">
        <v>2000</v>
      </c>
      <c r="C523" s="43"/>
      <c r="D523" s="43">
        <f t="shared" si="19"/>
        <v>0</v>
      </c>
      <c r="E523" s="55"/>
      <c r="F523" s="41"/>
      <c r="G523" s="41"/>
      <c r="Q523" s="80"/>
      <c r="R523" s="41"/>
    </row>
    <row r="524" spans="1:18" s="40" customFormat="1" ht="13" x14ac:dyDescent="0.25">
      <c r="A524" s="42"/>
      <c r="B524" s="43"/>
      <c r="C524" s="43"/>
      <c r="D524" s="43">
        <f t="shared" si="19"/>
        <v>0</v>
      </c>
      <c r="E524" s="55"/>
      <c r="F524" s="41"/>
      <c r="G524" s="41"/>
      <c r="Q524" s="80"/>
      <c r="R524" s="41"/>
    </row>
    <row r="525" spans="1:18" s="40" customFormat="1" ht="13" x14ac:dyDescent="0.25">
      <c r="A525" s="42"/>
      <c r="B525" s="43"/>
      <c r="C525" s="43"/>
      <c r="D525" s="43">
        <f t="shared" si="19"/>
        <v>0</v>
      </c>
      <c r="E525" s="55"/>
      <c r="F525" s="41"/>
      <c r="G525" s="41"/>
      <c r="Q525" s="80"/>
      <c r="R525" s="41"/>
    </row>
    <row r="526" spans="1:18" s="40" customFormat="1" ht="13" x14ac:dyDescent="0.25">
      <c r="A526" s="42"/>
      <c r="B526" s="43"/>
      <c r="C526" s="43"/>
      <c r="D526" s="43">
        <f t="shared" si="19"/>
        <v>0</v>
      </c>
      <c r="E526" s="55"/>
      <c r="F526" s="41"/>
      <c r="G526" s="41"/>
      <c r="Q526" s="80"/>
      <c r="R526" s="41"/>
    </row>
    <row r="527" spans="1:18" s="40" customFormat="1" ht="13" x14ac:dyDescent="0.25">
      <c r="A527" s="36" t="s">
        <v>67</v>
      </c>
      <c r="B527" s="43"/>
      <c r="C527" s="43"/>
      <c r="D527" s="43"/>
      <c r="E527" s="55"/>
      <c r="F527" s="41"/>
      <c r="G527" s="41"/>
      <c r="Q527" s="80"/>
      <c r="R527" s="41"/>
    </row>
    <row r="528" spans="1:18" s="46" customFormat="1" ht="13" x14ac:dyDescent="0.25">
      <c r="A528" s="45" t="s">
        <v>321</v>
      </c>
      <c r="B528" s="47"/>
      <c r="C528" s="47"/>
      <c r="D528" s="47">
        <f>C528*13000/1000000</f>
        <v>0</v>
      </c>
      <c r="E528" s="109"/>
      <c r="F528" s="50"/>
      <c r="G528" s="50"/>
      <c r="Q528" s="81"/>
      <c r="R528" s="50">
        <v>200</v>
      </c>
    </row>
    <row r="529" spans="1:18" s="46" customFormat="1" ht="13" x14ac:dyDescent="0.25">
      <c r="A529" s="45" t="s">
        <v>322</v>
      </c>
      <c r="B529" s="47"/>
      <c r="C529" s="47"/>
      <c r="D529" s="47">
        <f>C529*13000/1000000</f>
        <v>0</v>
      </c>
      <c r="E529" s="109"/>
      <c r="F529" s="50"/>
      <c r="G529" s="50"/>
      <c r="Q529" s="81"/>
      <c r="R529" s="50">
        <v>40</v>
      </c>
    </row>
    <row r="530" spans="1:18" s="40" customFormat="1" ht="13" x14ac:dyDescent="0.25">
      <c r="A530" s="42"/>
      <c r="B530" s="43"/>
      <c r="C530" s="43"/>
      <c r="D530" s="43">
        <f t="shared" ref="D530:D534" si="20">C530*13000/1000000</f>
        <v>0</v>
      </c>
      <c r="E530" s="55"/>
      <c r="F530" s="41"/>
      <c r="G530" s="41"/>
      <c r="Q530" s="80"/>
      <c r="R530" s="41"/>
    </row>
    <row r="531" spans="1:18" s="40" customFormat="1" ht="13" x14ac:dyDescent="0.25">
      <c r="A531" s="42"/>
      <c r="B531" s="43"/>
      <c r="C531" s="43"/>
      <c r="D531" s="43">
        <f t="shared" si="20"/>
        <v>0</v>
      </c>
      <c r="E531" s="55"/>
      <c r="F531" s="41"/>
      <c r="G531" s="41"/>
      <c r="Q531" s="80"/>
      <c r="R531" s="41"/>
    </row>
    <row r="532" spans="1:18" s="40" customFormat="1" ht="13" x14ac:dyDescent="0.25">
      <c r="A532" s="42"/>
      <c r="B532" s="43"/>
      <c r="C532" s="43"/>
      <c r="D532" s="43">
        <f t="shared" si="20"/>
        <v>0</v>
      </c>
      <c r="E532" s="55"/>
      <c r="F532" s="41"/>
      <c r="G532" s="41"/>
      <c r="Q532" s="80"/>
      <c r="R532" s="41"/>
    </row>
    <row r="533" spans="1:18" s="40" customFormat="1" ht="13" x14ac:dyDescent="0.25">
      <c r="A533" s="42"/>
      <c r="B533" s="43"/>
      <c r="C533" s="43"/>
      <c r="D533" s="43">
        <f t="shared" si="20"/>
        <v>0</v>
      </c>
      <c r="E533" s="55"/>
      <c r="F533" s="41"/>
      <c r="G533" s="41"/>
      <c r="Q533" s="80"/>
      <c r="R533" s="41"/>
    </row>
    <row r="534" spans="1:18" s="40" customFormat="1" ht="13" x14ac:dyDescent="0.25">
      <c r="A534" s="42"/>
      <c r="B534" s="43"/>
      <c r="C534" s="43"/>
      <c r="D534" s="43">
        <f t="shared" si="20"/>
        <v>0</v>
      </c>
      <c r="E534" s="55"/>
      <c r="F534" s="41"/>
      <c r="G534" s="41"/>
      <c r="Q534" s="80"/>
      <c r="R534" s="41"/>
    </row>
    <row r="535" spans="1:18" s="40" customFormat="1" ht="13" x14ac:dyDescent="0.25">
      <c r="A535" s="42"/>
      <c r="B535" s="43"/>
      <c r="C535" s="43"/>
      <c r="D535" s="43"/>
      <c r="E535" s="55"/>
      <c r="F535" s="41"/>
      <c r="G535" s="41"/>
      <c r="Q535" s="80"/>
      <c r="R535" s="41"/>
    </row>
    <row r="536" spans="1:18" s="40" customFormat="1" ht="13" x14ac:dyDescent="0.25">
      <c r="A536" s="51"/>
      <c r="B536" s="52">
        <f>SUM(B502:B535)</f>
        <v>99150</v>
      </c>
      <c r="C536" s="52">
        <f>SUM(C502:C535)</f>
        <v>0</v>
      </c>
      <c r="D536" s="52">
        <f>SUM(D502:D535)</f>
        <v>0</v>
      </c>
      <c r="E536" s="53">
        <f>B536+D536</f>
        <v>99150</v>
      </c>
      <c r="F536" s="52">
        <f>E536*E537</f>
        <v>9915</v>
      </c>
      <c r="G536" s="52">
        <f>SUM(G502:G535)</f>
        <v>0</v>
      </c>
      <c r="P536" s="84">
        <f>E536*E537</f>
        <v>9915</v>
      </c>
      <c r="Q536" s="80"/>
      <c r="R536" s="52">
        <f>SUM(R502:R535)</f>
        <v>2050</v>
      </c>
    </row>
    <row r="537" spans="1:18" s="40" customFormat="1" ht="13" x14ac:dyDescent="0.25">
      <c r="A537" s="51"/>
      <c r="B537" s="58"/>
      <c r="C537" s="58"/>
      <c r="D537" s="58"/>
      <c r="E537" s="54">
        <v>0.1</v>
      </c>
      <c r="F537" s="41"/>
      <c r="G537" s="41"/>
      <c r="Q537" s="80"/>
      <c r="R537" s="54"/>
    </row>
    <row r="538" spans="1:18" s="40" customFormat="1" ht="13.5" thickBot="1" x14ac:dyDescent="0.3">
      <c r="A538" s="72" t="s">
        <v>141</v>
      </c>
      <c r="B538" s="73">
        <f t="shared" ref="B538:P538" si="21">B334+B357+B403+B465+B498+B536</f>
        <v>1239730</v>
      </c>
      <c r="C538" s="73">
        <f t="shared" si="21"/>
        <v>150000</v>
      </c>
      <c r="D538" s="73">
        <f t="shared" si="21"/>
        <v>1950</v>
      </c>
      <c r="E538" s="73">
        <f t="shared" si="21"/>
        <v>1241380</v>
      </c>
      <c r="F538" s="73">
        <f t="shared" si="21"/>
        <v>496629</v>
      </c>
      <c r="G538" s="73" t="e">
        <f t="shared" ca="1" si="21"/>
        <v>#NUM!</v>
      </c>
      <c r="H538" s="73">
        <f t="shared" si="21"/>
        <v>0</v>
      </c>
      <c r="I538" s="73">
        <f t="shared" si="21"/>
        <v>0</v>
      </c>
      <c r="J538" s="73">
        <f t="shared" si="21"/>
        <v>0</v>
      </c>
      <c r="K538" s="73">
        <f t="shared" si="21"/>
        <v>0</v>
      </c>
      <c r="L538" s="73">
        <f t="shared" si="21"/>
        <v>0</v>
      </c>
      <c r="M538" s="73">
        <f t="shared" si="21"/>
        <v>0</v>
      </c>
      <c r="N538" s="73">
        <f t="shared" si="21"/>
        <v>0</v>
      </c>
      <c r="O538" s="73">
        <f t="shared" si="21"/>
        <v>0</v>
      </c>
      <c r="P538" s="73">
        <f t="shared" si="21"/>
        <v>496629</v>
      </c>
      <c r="Q538" s="80"/>
      <c r="R538" s="73">
        <f>R334+R357+R403+R465+R498+R536</f>
        <v>44250</v>
      </c>
    </row>
    <row r="539" spans="1:18" ht="13" thickTop="1" x14ac:dyDescent="0.25"/>
  </sheetData>
  <mergeCells count="3">
    <mergeCell ref="A1:E1"/>
    <mergeCell ref="A2:E2"/>
    <mergeCell ref="A3:E3"/>
  </mergeCells>
  <printOptions horizontalCentered="1"/>
  <pageMargins left="0.74803149606299213" right="0.74803149606299213" top="0.98425196850393704" bottom="0.98425196850393704" header="0.51181102362204722" footer="0.51181102362204722"/>
  <pageSetup paperSize="9" scale="81" fitToHeight="0" orientation="portrait" r:id="rId1"/>
  <headerFooter alignWithMargins="0">
    <oddFooter>&amp;R&amp;P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94"/>
  <sheetViews>
    <sheetView zoomScale="130" zoomScaleNormal="130" workbookViewId="0">
      <pane ySplit="2970" topLeftCell="A7" activePane="bottomLeft"/>
      <selection activeCell="F7" sqref="F7"/>
      <selection pane="bottomLeft" activeCell="A10" sqref="A10"/>
    </sheetView>
  </sheetViews>
  <sheetFormatPr defaultColWidth="9.1796875" defaultRowHeight="12.5" x14ac:dyDescent="0.25"/>
  <cols>
    <col min="1" max="1" width="34" style="18" bestFit="1" customWidth="1"/>
    <col min="2" max="2" width="10.453125" style="18" customWidth="1"/>
    <col min="3" max="3" width="10.453125" style="18" bestFit="1" customWidth="1"/>
    <col min="4" max="4" width="12.7265625" style="18" customWidth="1"/>
    <col min="5" max="5" width="10.81640625" style="18" bestFit="1" customWidth="1"/>
    <col min="6" max="6" width="10.453125" style="18" bestFit="1" customWidth="1"/>
    <col min="7" max="7" width="10.81640625" style="18" customWidth="1"/>
    <col min="8" max="8" width="13.453125" style="18" hidden="1" customWidth="1"/>
    <col min="9" max="9" width="14.81640625" style="18" hidden="1" customWidth="1"/>
    <col min="10" max="10" width="14" style="18" hidden="1" customWidth="1"/>
    <col min="11" max="11" width="10.81640625" style="18" hidden="1" customWidth="1"/>
    <col min="12" max="12" width="10.1796875" style="18" hidden="1" customWidth="1"/>
    <col min="13" max="13" width="8.81640625" style="18" hidden="1" customWidth="1"/>
    <col min="14" max="14" width="8.7265625" style="18" hidden="1" customWidth="1"/>
    <col min="15" max="16" width="9.453125" style="18" hidden="1" customWidth="1"/>
    <col min="17" max="19" width="11.26953125" style="18" hidden="1" customWidth="1"/>
    <col min="20" max="20" width="10.453125" style="18" hidden="1" customWidth="1"/>
    <col min="21" max="21" width="8.81640625" style="31" hidden="1" customWidth="1"/>
    <col min="22" max="22" width="10.26953125" style="31" hidden="1" customWidth="1"/>
    <col min="23" max="16384" width="9.1796875" style="18"/>
  </cols>
  <sheetData>
    <row r="1" spans="1:23" customFormat="1" x14ac:dyDescent="0.25">
      <c r="A1" s="164" t="s">
        <v>0</v>
      </c>
      <c r="B1" s="164"/>
      <c r="C1" s="164"/>
      <c r="D1" s="164"/>
      <c r="E1" s="164"/>
      <c r="F1" s="1"/>
      <c r="G1" s="1"/>
      <c r="H1" s="1"/>
      <c r="I1" s="1"/>
      <c r="J1" s="1"/>
      <c r="K1" s="1"/>
      <c r="U1" s="2"/>
      <c r="V1" s="2"/>
    </row>
    <row r="2" spans="1:23" customFormat="1" x14ac:dyDescent="0.25">
      <c r="A2" s="165" t="s">
        <v>352</v>
      </c>
      <c r="B2" s="164"/>
      <c r="C2" s="164"/>
      <c r="D2" s="164"/>
      <c r="E2" s="164"/>
      <c r="F2" s="1"/>
      <c r="G2" s="1"/>
      <c r="H2" s="1"/>
      <c r="I2" s="1"/>
      <c r="J2" s="1"/>
      <c r="K2" s="1"/>
      <c r="U2" s="2"/>
      <c r="V2" s="2"/>
    </row>
    <row r="3" spans="1:23" customFormat="1" x14ac:dyDescent="0.25">
      <c r="A3" s="165" t="s">
        <v>353</v>
      </c>
      <c r="B3" s="164"/>
      <c r="C3" s="164"/>
      <c r="D3" s="164"/>
      <c r="E3" s="164"/>
      <c r="F3" s="1"/>
      <c r="G3" s="1"/>
      <c r="H3" s="1"/>
      <c r="I3" s="1"/>
      <c r="J3" s="1"/>
      <c r="K3" s="1"/>
      <c r="U3" s="2"/>
      <c r="V3" s="2"/>
    </row>
    <row r="4" spans="1:23" customFormat="1" x14ac:dyDescent="0.25">
      <c r="U4" s="2"/>
      <c r="V4" s="2"/>
    </row>
    <row r="5" spans="1:23" customFormat="1" ht="13" x14ac:dyDescent="0.3">
      <c r="A5" s="3"/>
      <c r="B5" s="3"/>
      <c r="C5" s="3"/>
      <c r="D5" s="4"/>
      <c r="E5" s="3"/>
      <c r="F5" s="3"/>
      <c r="G5" s="3"/>
      <c r="H5" s="119"/>
      <c r="I5" s="5"/>
      <c r="J5" s="5"/>
      <c r="K5" s="5"/>
      <c r="L5" s="5"/>
      <c r="M5" s="3"/>
      <c r="N5" s="3"/>
      <c r="O5" s="3"/>
      <c r="P5" s="3"/>
      <c r="Q5" s="3"/>
      <c r="R5" s="6"/>
      <c r="U5" s="2"/>
      <c r="V5" s="2"/>
    </row>
    <row r="6" spans="1:23" customFormat="1" ht="13" x14ac:dyDescent="0.3">
      <c r="A6" s="7" t="s">
        <v>3</v>
      </c>
      <c r="B6" s="7" t="s">
        <v>4</v>
      </c>
      <c r="C6" s="7" t="s">
        <v>348</v>
      </c>
      <c r="D6" s="7" t="s">
        <v>347</v>
      </c>
      <c r="E6" s="7" t="s">
        <v>349</v>
      </c>
      <c r="F6" s="7" t="s">
        <v>344</v>
      </c>
      <c r="G6" s="7" t="s">
        <v>348</v>
      </c>
      <c r="H6" s="8" t="s">
        <v>7</v>
      </c>
      <c r="I6" s="8" t="s">
        <v>2</v>
      </c>
      <c r="J6" s="8" t="s">
        <v>8</v>
      </c>
      <c r="K6" s="8" t="s">
        <v>9</v>
      </c>
      <c r="L6" s="8" t="s">
        <v>10</v>
      </c>
      <c r="M6" s="7" t="s">
        <v>11</v>
      </c>
      <c r="N6" s="7" t="s">
        <v>12</v>
      </c>
      <c r="O6" s="7" t="s">
        <v>13</v>
      </c>
      <c r="P6" s="7" t="s">
        <v>14</v>
      </c>
      <c r="Q6" s="7" t="s">
        <v>4</v>
      </c>
      <c r="R6" s="9"/>
      <c r="U6" s="2"/>
      <c r="V6" s="2"/>
      <c r="W6" s="10"/>
    </row>
    <row r="7" spans="1:23" customFormat="1" ht="13" x14ac:dyDescent="0.3">
      <c r="A7" s="122"/>
      <c r="B7" s="7">
        <v>2017</v>
      </c>
      <c r="C7" s="117" t="s">
        <v>346</v>
      </c>
      <c r="D7" s="7">
        <v>2017</v>
      </c>
      <c r="E7" s="7" t="s">
        <v>350</v>
      </c>
      <c r="F7" s="7">
        <v>2017</v>
      </c>
      <c r="G7" s="7">
        <v>2017</v>
      </c>
      <c r="H7" s="8" t="s">
        <v>15</v>
      </c>
      <c r="I7" s="8" t="s">
        <v>16</v>
      </c>
      <c r="J7" s="8" t="s">
        <v>17</v>
      </c>
      <c r="K7" s="12" t="s">
        <v>18</v>
      </c>
      <c r="L7" s="12" t="s">
        <v>19</v>
      </c>
      <c r="M7" s="7" t="s">
        <v>20</v>
      </c>
      <c r="N7" s="7"/>
      <c r="O7" s="7"/>
      <c r="P7" s="7">
        <v>2013</v>
      </c>
      <c r="Q7" s="7"/>
      <c r="R7" s="9"/>
      <c r="U7" s="2"/>
      <c r="V7" s="2"/>
    </row>
    <row r="8" spans="1:23" customFormat="1" ht="13" x14ac:dyDescent="0.3">
      <c r="A8" s="13"/>
      <c r="B8" s="14"/>
      <c r="C8" s="15"/>
      <c r="D8" s="14"/>
      <c r="E8" s="118">
        <v>2017</v>
      </c>
      <c r="F8" s="118"/>
      <c r="G8" s="118"/>
      <c r="H8" s="16"/>
      <c r="I8" s="16"/>
      <c r="J8" s="16"/>
      <c r="K8" s="16"/>
      <c r="L8" s="16"/>
      <c r="M8" s="14"/>
      <c r="N8" s="14"/>
      <c r="O8" s="14"/>
      <c r="P8" s="14"/>
      <c r="Q8" s="14"/>
      <c r="R8" s="9"/>
      <c r="U8" s="2"/>
      <c r="V8" s="2"/>
    </row>
    <row r="9" spans="1:23" customForma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8"/>
      <c r="U9" s="2"/>
      <c r="V9" s="2"/>
    </row>
    <row r="10" spans="1:23" customFormat="1" x14ac:dyDescent="0.25">
      <c r="A10" s="17" t="s">
        <v>21</v>
      </c>
      <c r="B10" s="19">
        <v>0</v>
      </c>
      <c r="C10" s="19">
        <v>0</v>
      </c>
      <c r="D10" s="19">
        <v>829.60368200000005</v>
      </c>
      <c r="E10" s="19">
        <f>+C10+D10</f>
        <v>829.60368200000005</v>
      </c>
      <c r="F10" s="19">
        <v>474.11650400000002</v>
      </c>
      <c r="G10" s="19">
        <f>+E10-F10</f>
        <v>355.48717800000003</v>
      </c>
      <c r="H10" s="19">
        <f>'[4]ME-AC'!L11/1000000</f>
        <v>0</v>
      </c>
      <c r="I10" s="19">
        <f>'[4]ME-AC'!M11/1000000</f>
        <v>0</v>
      </c>
      <c r="J10" s="19">
        <f>I10</f>
        <v>0</v>
      </c>
      <c r="K10" s="19">
        <v>592.287871</v>
      </c>
      <c r="L10" s="19">
        <f>E10-K10</f>
        <v>237.31581100000005</v>
      </c>
      <c r="M10" s="19"/>
      <c r="N10" s="19">
        <f>L10+M10</f>
        <v>237.31581100000005</v>
      </c>
      <c r="O10" s="19"/>
      <c r="P10" s="19">
        <f>N10+O10</f>
        <v>237.31581100000005</v>
      </c>
      <c r="Q10" s="19">
        <v>0</v>
      </c>
      <c r="R10" s="20"/>
      <c r="S10" s="21">
        <v>0</v>
      </c>
      <c r="U10" s="2"/>
      <c r="V10" s="2"/>
    </row>
    <row r="11" spans="1:23" customFormat="1" x14ac:dyDescent="0.25">
      <c r="A11" s="17" t="s">
        <v>22</v>
      </c>
      <c r="B11" s="19">
        <v>55138.691469275</v>
      </c>
      <c r="C11" s="19">
        <v>52063.123017320206</v>
      </c>
      <c r="D11" s="19">
        <v>47778.915100999999</v>
      </c>
      <c r="E11" s="19">
        <f t="shared" ref="E11:E34" si="0">+C11+D11</f>
        <v>99842.038118320197</v>
      </c>
      <c r="F11" s="19">
        <v>55745.571288884552</v>
      </c>
      <c r="G11" s="19">
        <f t="shared" ref="G11:G34" si="1">+E11-F11</f>
        <v>44096.466829435645</v>
      </c>
      <c r="H11" s="19">
        <f>'[4]ME-Mek'!L72/1000000</f>
        <v>21178.138362000002</v>
      </c>
      <c r="I11" s="19">
        <f>'[4]ME-Mek'!M72/1000000</f>
        <v>42771.268798208999</v>
      </c>
      <c r="J11" s="19">
        <v>42414</v>
      </c>
      <c r="K11" s="19">
        <v>80807.137676327198</v>
      </c>
      <c r="L11" s="19">
        <f>E11-K11</f>
        <v>19034.900441992999</v>
      </c>
      <c r="M11" s="19"/>
      <c r="N11" s="19">
        <f t="shared" ref="N11:N34" si="2">L11+M11</f>
        <v>19034.900441992999</v>
      </c>
      <c r="O11" s="19" t="e">
        <f>#REF!</f>
        <v>#REF!</v>
      </c>
      <c r="P11" s="19" t="e">
        <f>N11+O11</f>
        <v>#REF!</v>
      </c>
      <c r="Q11" s="19">
        <v>80000</v>
      </c>
      <c r="R11" s="20">
        <f>+E11-'[4]ME-Mek'!K72/1000000</f>
        <v>-35593.408663888811</v>
      </c>
      <c r="S11" s="21">
        <f t="shared" ref="S11:S36" si="3">L11/Q11</f>
        <v>0.23793625552491249</v>
      </c>
      <c r="U11" s="2">
        <f>'[4]ME-Mek'!R72</f>
        <v>1125600000</v>
      </c>
      <c r="V11" s="2"/>
    </row>
    <row r="12" spans="1:23" customFormat="1" x14ac:dyDescent="0.25">
      <c r="A12" s="17" t="s">
        <v>23</v>
      </c>
      <c r="B12" s="19">
        <v>116641.94032107289</v>
      </c>
      <c r="C12" s="19">
        <v>69273.046955056707</v>
      </c>
      <c r="D12" s="19">
        <v>240004.50102</v>
      </c>
      <c r="E12" s="19">
        <f t="shared" si="0"/>
        <v>309277.54797505669</v>
      </c>
      <c r="F12" s="19">
        <v>95014.246195306303</v>
      </c>
      <c r="G12" s="19">
        <f t="shared" si="1"/>
        <v>214263.30177975039</v>
      </c>
      <c r="H12" s="19">
        <f>'[4]ME-Elek'!L43/1000000</f>
        <v>53750.957387040697</v>
      </c>
      <c r="I12" s="19">
        <f>'[4]ME-Elek'!M43/1000000</f>
        <v>155140.9944881293</v>
      </c>
      <c r="J12" s="19">
        <v>42414</v>
      </c>
      <c r="K12" s="19">
        <v>100251.961144941</v>
      </c>
      <c r="L12" s="19">
        <f>E12-K12</f>
        <v>209025.5868301157</v>
      </c>
      <c r="M12" s="19">
        <v>4900</v>
      </c>
      <c r="N12" s="19">
        <f t="shared" si="2"/>
        <v>213925.5868301157</v>
      </c>
      <c r="O12" s="19"/>
      <c r="P12" s="19">
        <f>N12+O12</f>
        <v>213925.5868301157</v>
      </c>
      <c r="Q12" s="19">
        <v>78000</v>
      </c>
      <c r="R12" s="20">
        <f>+E12-'[4]ME-Elek'!K43/1000000</f>
        <v>100385.59609988666</v>
      </c>
      <c r="S12" s="21">
        <f t="shared" si="3"/>
        <v>2.6798152157707142</v>
      </c>
      <c r="T12" s="2"/>
      <c r="U12" s="2">
        <f>'[4]ME-Elek'!R43/1000000</f>
        <v>0</v>
      </c>
      <c r="V12" s="2"/>
    </row>
    <row r="13" spans="1:23" customFormat="1" x14ac:dyDescent="0.25">
      <c r="A13" s="17" t="s">
        <v>24</v>
      </c>
      <c r="B13" s="19">
        <v>14710</v>
      </c>
      <c r="C13" s="19">
        <v>4942.7547990000003</v>
      </c>
      <c r="D13" s="19">
        <v>8866.9670000099977</v>
      </c>
      <c r="E13" s="19">
        <f t="shared" si="0"/>
        <v>13809.721799009998</v>
      </c>
      <c r="F13" s="19">
        <v>11575.171436948182</v>
      </c>
      <c r="G13" s="19">
        <f t="shared" si="1"/>
        <v>2234.5503620618165</v>
      </c>
      <c r="H13" s="19">
        <f>'[4]ME-SOM'!L27/1000000</f>
        <v>328.18</v>
      </c>
      <c r="I13" s="19">
        <f>'[4]ME-SOM'!M27/1000000</f>
        <v>25021.723194999999</v>
      </c>
      <c r="J13" s="19">
        <f>I13</f>
        <v>25021.723194999999</v>
      </c>
      <c r="K13" s="19">
        <v>969.03968999999995</v>
      </c>
      <c r="L13" s="19">
        <f>E13-K13</f>
        <v>12840.682109009998</v>
      </c>
      <c r="M13" s="19"/>
      <c r="N13" s="19">
        <f t="shared" si="2"/>
        <v>12840.682109009998</v>
      </c>
      <c r="O13" s="19"/>
      <c r="P13" s="19">
        <f t="shared" ref="P13:P32" si="4">N13+O13</f>
        <v>12840.682109009998</v>
      </c>
      <c r="Q13" s="19">
        <v>2000</v>
      </c>
      <c r="R13" s="20">
        <f>+E13-'[4]ME-SOM'!K27/1000000</f>
        <v>-33715.015537990002</v>
      </c>
      <c r="S13" s="21">
        <f t="shared" si="3"/>
        <v>6.4203410545049993</v>
      </c>
      <c r="T13" s="22">
        <f>T54</f>
        <v>208000</v>
      </c>
      <c r="U13" s="2"/>
      <c r="V13" s="2">
        <f>SUM(D10:D13)+T13</f>
        <v>505479.98680300999</v>
      </c>
    </row>
    <row r="14" spans="1:23" customFormat="1" x14ac:dyDescent="0.25">
      <c r="A14" s="23" t="s">
        <v>37</v>
      </c>
      <c r="B14" s="19">
        <v>6094</v>
      </c>
      <c r="C14" s="19">
        <v>1771.11879933</v>
      </c>
      <c r="D14" s="19">
        <v>13513.18255272</v>
      </c>
      <c r="E14" s="19">
        <f>+C14+D14</f>
        <v>15284.301352049999</v>
      </c>
      <c r="F14" s="19">
        <v>4076.3996793599999</v>
      </c>
      <c r="G14" s="19">
        <f t="shared" si="1"/>
        <v>11207.901672689999</v>
      </c>
      <c r="H14" s="19"/>
      <c r="I14" s="19"/>
      <c r="J14" s="19"/>
      <c r="K14" s="19"/>
      <c r="L14" s="19"/>
      <c r="M14" s="19"/>
      <c r="N14" s="19"/>
      <c r="O14" s="19" t="e">
        <f>#REF!</f>
        <v>#REF!</v>
      </c>
      <c r="P14" s="19" t="e">
        <f>I14+O14</f>
        <v>#REF!</v>
      </c>
      <c r="Q14" s="19">
        <v>30000</v>
      </c>
      <c r="R14" s="20">
        <f>+E14-[4]Lift!K20/1000000</f>
        <v>7517.9374400899987</v>
      </c>
      <c r="S14" s="21">
        <f>L14/Q14</f>
        <v>0</v>
      </c>
      <c r="T14" s="22">
        <f>T176</f>
        <v>0</v>
      </c>
      <c r="U14" s="2"/>
      <c r="V14" s="2">
        <f>D14+T14</f>
        <v>13513.18255272</v>
      </c>
    </row>
    <row r="15" spans="1:23" customFormat="1" x14ac:dyDescent="0.25">
      <c r="A15" s="23" t="s">
        <v>146</v>
      </c>
      <c r="B15" s="19">
        <v>1148</v>
      </c>
      <c r="C15" s="19">
        <v>0</v>
      </c>
      <c r="D15" s="19">
        <v>1745.601281</v>
      </c>
      <c r="E15" s="19">
        <f>+C15+D15</f>
        <v>1745.601281</v>
      </c>
      <c r="F15" s="19">
        <v>1339.1564953600002</v>
      </c>
      <c r="G15" s="19">
        <f t="shared" si="1"/>
        <v>406.44478563999974</v>
      </c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20"/>
      <c r="S15" s="21"/>
      <c r="T15" s="22"/>
      <c r="U15" s="2"/>
      <c r="V15" s="2"/>
    </row>
    <row r="16" spans="1:23" customFormat="1" x14ac:dyDescent="0.25">
      <c r="A16" s="17"/>
      <c r="B16" s="19"/>
      <c r="C16" s="19"/>
      <c r="D16" s="19"/>
      <c r="E16" s="19"/>
      <c r="F16" s="19"/>
      <c r="G16" s="19">
        <f t="shared" si="1"/>
        <v>0</v>
      </c>
      <c r="H16" s="19"/>
      <c r="I16" s="19"/>
      <c r="J16" s="19"/>
      <c r="K16" s="19">
        <f>H16+J16</f>
        <v>0</v>
      </c>
      <c r="L16" s="19">
        <f>E16-K16</f>
        <v>0</v>
      </c>
      <c r="M16" s="19"/>
      <c r="N16" s="19"/>
      <c r="O16" s="19"/>
      <c r="P16" s="19"/>
      <c r="Q16" s="19"/>
      <c r="R16" s="20">
        <f>SUM(D10:D13)+D14</f>
        <v>310993.16935573</v>
      </c>
      <c r="S16" s="21"/>
      <c r="U16" s="2"/>
      <c r="V16" s="2"/>
    </row>
    <row r="17" spans="1:24" customFormat="1" x14ac:dyDescent="0.25">
      <c r="A17" s="17" t="s">
        <v>25</v>
      </c>
      <c r="B17" s="19">
        <v>74370.772731310004</v>
      </c>
      <c r="C17" s="19">
        <v>31129.715135739229</v>
      </c>
      <c r="D17" s="19">
        <v>49761.581078000003</v>
      </c>
      <c r="E17" s="19">
        <f t="shared" si="0"/>
        <v>80891.296213739231</v>
      </c>
      <c r="F17" s="19">
        <v>64209.70458941922</v>
      </c>
      <c r="G17" s="19">
        <f t="shared" si="1"/>
        <v>16681.591624320012</v>
      </c>
      <c r="H17" s="19" t="e">
        <f>#REF!/1000000</f>
        <v>#REF!</v>
      </c>
      <c r="I17" s="19" t="e">
        <f>#REF!/1000000</f>
        <v>#REF!</v>
      </c>
      <c r="J17" s="19" t="e">
        <f>#REF!/1000000</f>
        <v>#REF!</v>
      </c>
      <c r="K17" s="19">
        <v>109340.14217299999</v>
      </c>
      <c r="L17" s="19">
        <f>E17-K17</f>
        <v>-28448.845959260754</v>
      </c>
      <c r="M17" s="19"/>
      <c r="N17" s="19">
        <f t="shared" si="2"/>
        <v>-28448.845959260754</v>
      </c>
      <c r="O17" s="19">
        <f>I90</f>
        <v>0</v>
      </c>
      <c r="P17" s="19">
        <f t="shared" si="4"/>
        <v>-28448.845959260754</v>
      </c>
      <c r="Q17" s="19">
        <v>100000</v>
      </c>
      <c r="R17" s="20"/>
      <c r="S17" s="21">
        <f t="shared" si="3"/>
        <v>-0.28448845959260755</v>
      </c>
      <c r="U17" s="2" t="e">
        <f>#REF!/1000000</f>
        <v>#REF!</v>
      </c>
      <c r="V17" s="2"/>
    </row>
    <row r="18" spans="1:24" customFormat="1" x14ac:dyDescent="0.25">
      <c r="A18" s="23" t="s">
        <v>26</v>
      </c>
      <c r="B18" s="19">
        <v>146749.53224662054</v>
      </c>
      <c r="C18" s="19">
        <v>171655.97195813511</v>
      </c>
      <c r="D18" s="19">
        <v>28601.252661810002</v>
      </c>
      <c r="E18" s="19">
        <f t="shared" si="0"/>
        <v>200257.2246199451</v>
      </c>
      <c r="F18" s="19">
        <v>135049.45531514837</v>
      </c>
      <c r="G18" s="19">
        <f t="shared" si="1"/>
        <v>65207.769304796733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1"/>
      <c r="T18" s="22"/>
      <c r="U18" s="2"/>
      <c r="V18" s="2"/>
    </row>
    <row r="19" spans="1:24" customFormat="1" x14ac:dyDescent="0.25">
      <c r="A19" s="17" t="s">
        <v>27</v>
      </c>
      <c r="B19" s="19">
        <v>36274.883076641112</v>
      </c>
      <c r="C19" s="19">
        <v>14437.329289146866</v>
      </c>
      <c r="D19" s="19">
        <v>30641.490095630001</v>
      </c>
      <c r="E19" s="19">
        <f t="shared" si="0"/>
        <v>45078.819384776871</v>
      </c>
      <c r="F19" s="19">
        <v>38705.180689263536</v>
      </c>
      <c r="G19" s="19">
        <f t="shared" si="1"/>
        <v>6373.6386955133348</v>
      </c>
      <c r="H19" s="19">
        <f>'[4]ACR-S&amp;M'!L334/1000000</f>
        <v>2528.4398156699999</v>
      </c>
      <c r="I19" s="19">
        <f>'[4]ACR-S&amp;M'!M334/1000000</f>
        <v>43441.462078223332</v>
      </c>
      <c r="J19" s="19">
        <v>10068</v>
      </c>
      <c r="K19" s="19">
        <v>29310.10942053</v>
      </c>
      <c r="L19" s="19">
        <f>E19-K19</f>
        <v>15768.709964246871</v>
      </c>
      <c r="M19" s="19"/>
      <c r="N19" s="19">
        <f t="shared" si="2"/>
        <v>15768.709964246871</v>
      </c>
      <c r="O19" s="19"/>
      <c r="P19" s="19">
        <f t="shared" si="4"/>
        <v>15768.709964246871</v>
      </c>
      <c r="Q19" s="19">
        <v>27000</v>
      </c>
      <c r="R19" s="20">
        <f>+E19-'[4]ACR-S&amp;M'!K334/1000000</f>
        <v>-1148.4322731164648</v>
      </c>
      <c r="S19" s="21">
        <f t="shared" si="3"/>
        <v>0.58402629497210634</v>
      </c>
      <c r="U19" s="2">
        <f>'[4]ACR-S&amp;M'!R334/1000000</f>
        <v>99.51</v>
      </c>
      <c r="V19" s="2"/>
    </row>
    <row r="20" spans="1:24" customFormat="1" x14ac:dyDescent="0.25">
      <c r="A20" s="23" t="s">
        <v>28</v>
      </c>
      <c r="B20" s="19">
        <v>30698.08219845</v>
      </c>
      <c r="C20" s="19">
        <v>26356.787774226665</v>
      </c>
      <c r="D20" s="19">
        <v>21734.20328243</v>
      </c>
      <c r="E20" s="19">
        <f t="shared" si="0"/>
        <v>48090.991056656669</v>
      </c>
      <c r="F20" s="19">
        <v>30767.699972905692</v>
      </c>
      <c r="G20" s="19">
        <f t="shared" si="1"/>
        <v>17323.291083750977</v>
      </c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20">
        <f>+E20-'[4]ACR-SOM'!K28/1000000</f>
        <v>-612.01056067665922</v>
      </c>
      <c r="S20" s="21"/>
      <c r="T20" s="22">
        <f>T134</f>
        <v>9900</v>
      </c>
      <c r="U20" s="2">
        <f>'[4]ACR-SOM'!R28/1000000</f>
        <v>18100</v>
      </c>
      <c r="V20" s="2">
        <f>SUM(D17:D20)+T20</f>
        <v>140638.52711786999</v>
      </c>
    </row>
    <row r="21" spans="1:24" customFormat="1" x14ac:dyDescent="0.25">
      <c r="A21" s="17"/>
      <c r="B21" s="19"/>
      <c r="C21" s="19"/>
      <c r="D21" s="19"/>
      <c r="E21" s="19"/>
      <c r="F21" s="19"/>
      <c r="G21" s="19">
        <f t="shared" si="1"/>
        <v>0</v>
      </c>
      <c r="H21" s="19"/>
      <c r="I21" s="19"/>
      <c r="J21" s="19"/>
      <c r="K21" s="19">
        <f>H21+J21</f>
        <v>0</v>
      </c>
      <c r="L21" s="19">
        <f>E21-K21</f>
        <v>0</v>
      </c>
      <c r="M21" s="19"/>
      <c r="N21" s="19"/>
      <c r="O21" s="19"/>
      <c r="P21" s="19"/>
      <c r="Q21" s="19"/>
      <c r="R21" s="20">
        <f>SUM(D17:D20)</f>
        <v>130738.52711787001</v>
      </c>
      <c r="S21" s="21"/>
      <c r="U21" s="2"/>
      <c r="V21" s="2"/>
    </row>
    <row r="22" spans="1:24" customFormat="1" x14ac:dyDescent="0.25">
      <c r="A22" s="17" t="s">
        <v>29</v>
      </c>
      <c r="B22" s="19">
        <v>64174.345716800002</v>
      </c>
      <c r="C22" s="19">
        <v>11169.166853999999</v>
      </c>
      <c r="D22" s="19">
        <v>55400.398941910003</v>
      </c>
      <c r="E22" s="19">
        <f t="shared" si="0"/>
        <v>66569.565795910006</v>
      </c>
      <c r="F22" s="19">
        <v>65911.663563199996</v>
      </c>
      <c r="G22" s="19">
        <f t="shared" si="1"/>
        <v>657.90223271001014</v>
      </c>
      <c r="H22" s="19">
        <f>'[4]DCNP-TRD'!L54/1000000</f>
        <v>31051.3852014</v>
      </c>
      <c r="I22" s="19">
        <f>'[4]DCNP-TRD'!M54/1000000</f>
        <v>33546.227979470001</v>
      </c>
      <c r="J22" s="19">
        <f>'[4]DCNP-TRD'!N54/1000000</f>
        <v>15872.433178199999</v>
      </c>
      <c r="K22" s="19">
        <v>46862.686801000003</v>
      </c>
      <c r="L22" s="19">
        <f>E22-K22</f>
        <v>19706.878994910003</v>
      </c>
      <c r="M22" s="19"/>
      <c r="N22" s="19">
        <f t="shared" si="2"/>
        <v>19706.878994910003</v>
      </c>
      <c r="O22" s="19" t="e">
        <f>#REF!</f>
        <v>#REF!</v>
      </c>
      <c r="P22" s="19" t="e">
        <f t="shared" si="4"/>
        <v>#REF!</v>
      </c>
      <c r="Q22" s="19">
        <v>50000</v>
      </c>
      <c r="R22" s="20">
        <f>+E22-'[4]DCNP-TRD'!K54/1000000</f>
        <v>22.388979360010126</v>
      </c>
      <c r="S22" s="21">
        <f t="shared" si="3"/>
        <v>0.39413757989820003</v>
      </c>
      <c r="U22" s="2"/>
      <c r="V22" s="2"/>
      <c r="W22" s="2"/>
      <c r="X22" s="22"/>
    </row>
    <row r="23" spans="1:24" customFormat="1" x14ac:dyDescent="0.25">
      <c r="A23" s="17" t="s">
        <v>30</v>
      </c>
      <c r="B23" s="19">
        <v>32000.538510040002</v>
      </c>
      <c r="C23" s="19">
        <v>19768.5952441224</v>
      </c>
      <c r="D23" s="19">
        <v>34070.084215869996</v>
      </c>
      <c r="E23" s="19">
        <f t="shared" si="0"/>
        <v>53838.679459992396</v>
      </c>
      <c r="F23" s="19">
        <v>33104.788103839994</v>
      </c>
      <c r="G23" s="19">
        <f t="shared" si="1"/>
        <v>20733.891356152402</v>
      </c>
      <c r="H23" s="19">
        <f>'[4]DCNP-S&amp;M'!L270/1000000</f>
        <v>996.39789526000004</v>
      </c>
      <c r="I23" s="19">
        <f>'[4]DCNP-S&amp;M'!M270/1000000</f>
        <v>19633.455108909995</v>
      </c>
      <c r="J23" s="19">
        <v>5179</v>
      </c>
      <c r="K23" s="19">
        <v>17393.477352999998</v>
      </c>
      <c r="L23" s="19">
        <f>E23-K23</f>
        <v>36445.202106992394</v>
      </c>
      <c r="M23" s="19"/>
      <c r="N23" s="19">
        <f t="shared" si="2"/>
        <v>36445.202106992394</v>
      </c>
      <c r="O23" s="19"/>
      <c r="P23" s="19">
        <f t="shared" si="4"/>
        <v>36445.202106992394</v>
      </c>
      <c r="Q23" s="19">
        <v>20000</v>
      </c>
      <c r="R23" s="20">
        <f>+E23-'[4]DCNP-S&amp;M'!K270/1000000</f>
        <v>7477.1083798123946</v>
      </c>
      <c r="S23" s="21">
        <f t="shared" si="3"/>
        <v>1.8222601053496197</v>
      </c>
      <c r="T23" s="22">
        <f>T154</f>
        <v>13470</v>
      </c>
      <c r="U23" s="2">
        <f>'[4]DCNP-S&amp;M'!R270/1000000</f>
        <v>0</v>
      </c>
      <c r="V23" s="2">
        <f>SUM(D22:D23)+T23</f>
        <v>102940.48315777999</v>
      </c>
    </row>
    <row r="24" spans="1:24" customFormat="1" x14ac:dyDescent="0.25">
      <c r="A24" s="17"/>
      <c r="B24" s="19"/>
      <c r="C24" s="19"/>
      <c r="D24" s="19"/>
      <c r="E24" s="19"/>
      <c r="F24" s="19"/>
      <c r="G24" s="19">
        <f t="shared" si="1"/>
        <v>0</v>
      </c>
      <c r="H24" s="19"/>
      <c r="I24" s="19"/>
      <c r="J24" s="19"/>
      <c r="K24" s="19">
        <f>H24+J24</f>
        <v>0</v>
      </c>
      <c r="L24" s="19">
        <f>E24-K24</f>
        <v>0</v>
      </c>
      <c r="M24" s="19"/>
      <c r="N24" s="19"/>
      <c r="O24" s="19"/>
      <c r="P24" s="19"/>
      <c r="Q24" s="19"/>
      <c r="R24" s="20">
        <f>SUM(D22:D23)</f>
        <v>89470.483157779992</v>
      </c>
      <c r="S24" s="21"/>
      <c r="U24" s="2"/>
      <c r="V24" s="2"/>
    </row>
    <row r="25" spans="1:24" customFormat="1" x14ac:dyDescent="0.25">
      <c r="A25" s="17" t="s">
        <v>31</v>
      </c>
      <c r="B25" s="19">
        <v>50350.21572032175</v>
      </c>
      <c r="C25" s="19">
        <v>38453.012204350045</v>
      </c>
      <c r="D25" s="19">
        <v>20635.986921900003</v>
      </c>
      <c r="E25" s="19">
        <f t="shared" si="0"/>
        <v>59088.999126250048</v>
      </c>
      <c r="F25" s="19">
        <v>39206.113955589179</v>
      </c>
      <c r="G25" s="19">
        <f t="shared" si="1"/>
        <v>19882.885170660869</v>
      </c>
      <c r="H25" s="19">
        <f>'[4]FSC-TRD'!L68/1000000</f>
        <v>4696.9771922879609</v>
      </c>
      <c r="I25" s="19">
        <f>'[4]FSC-TRD'!M68/1000000</f>
        <v>49359.035942283117</v>
      </c>
      <c r="J25" s="19">
        <f>'[4]FSC-TRD'!N68/1000000</f>
        <v>4179.6082733347193</v>
      </c>
      <c r="K25" s="19">
        <v>62028.5974305708</v>
      </c>
      <c r="L25" s="19">
        <f>E25-K25</f>
        <v>-2939.5983043207525</v>
      </c>
      <c r="M25" s="19">
        <v>6000</v>
      </c>
      <c r="N25" s="19">
        <f t="shared" si="2"/>
        <v>3060.4016956792475</v>
      </c>
      <c r="O25" s="19" t="e">
        <f>#REF!</f>
        <v>#REF!</v>
      </c>
      <c r="P25" s="19" t="e">
        <f t="shared" si="4"/>
        <v>#REF!</v>
      </c>
      <c r="Q25" s="19">
        <v>80000</v>
      </c>
      <c r="R25" s="20">
        <f>+E25-'[4]FSC-TRD'!K68/1000000</f>
        <v>-83005.258774432557</v>
      </c>
      <c r="S25" s="21">
        <f t="shared" si="3"/>
        <v>-3.6744978804009405E-2</v>
      </c>
      <c r="U25" s="2"/>
      <c r="V25" s="2"/>
    </row>
    <row r="26" spans="1:24" s="130" customFormat="1" x14ac:dyDescent="0.25">
      <c r="A26" s="123" t="s">
        <v>345</v>
      </c>
      <c r="B26" s="124">
        <v>50541.940208240005</v>
      </c>
      <c r="C26" s="124">
        <v>12985.258212818027</v>
      </c>
      <c r="D26" s="124">
        <v>66435.864677999998</v>
      </c>
      <c r="E26" s="124">
        <f t="shared" si="0"/>
        <v>79421.12289081802</v>
      </c>
      <c r="F26" s="124">
        <v>59696.335098963333</v>
      </c>
      <c r="G26" s="124">
        <f t="shared" si="1"/>
        <v>19724.787791854687</v>
      </c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5">
        <f>+E26-'[4]FSC-MEK'!K13/1000000</f>
        <v>62179.707985818022</v>
      </c>
      <c r="S26" s="126"/>
      <c r="T26" s="127"/>
      <c r="U26" s="128"/>
      <c r="V26" s="128"/>
    </row>
    <row r="27" spans="1:24" customFormat="1" x14ac:dyDescent="0.25">
      <c r="A27" s="17" t="s">
        <v>32</v>
      </c>
      <c r="B27" s="19">
        <v>35577.948942449999</v>
      </c>
      <c r="C27" s="19">
        <v>17616.137697071517</v>
      </c>
      <c r="D27" s="19">
        <v>25432.944931490001</v>
      </c>
      <c r="E27" s="19">
        <f t="shared" si="0"/>
        <v>43049.082628561519</v>
      </c>
      <c r="F27" s="19">
        <v>36147.028758406777</v>
      </c>
      <c r="G27" s="19">
        <f t="shared" si="1"/>
        <v>6902.0538701547412</v>
      </c>
      <c r="H27" s="19" t="e">
        <f>'[4]FSC-S&amp;M'!L1121/1000000</f>
        <v>#N/A</v>
      </c>
      <c r="I27" s="19" t="e">
        <f>'[4]FSC-S&amp;M'!M1121/1000000</f>
        <v>#N/A</v>
      </c>
      <c r="J27" s="19">
        <v>4355</v>
      </c>
      <c r="K27" s="19">
        <v>17005.4798120081</v>
      </c>
      <c r="L27" s="19">
        <f>E27-K27</f>
        <v>26043.602816553419</v>
      </c>
      <c r="M27" s="19"/>
      <c r="N27" s="19">
        <f t="shared" si="2"/>
        <v>26043.602816553419</v>
      </c>
      <c r="O27" s="19"/>
      <c r="P27" s="19">
        <f t="shared" si="4"/>
        <v>26043.602816553419</v>
      </c>
      <c r="Q27" s="19">
        <v>16000</v>
      </c>
      <c r="R27" s="20">
        <f>+E27-'[4]FSC-S&amp;M'!K1121/1000000</f>
        <v>-16375.21962634287</v>
      </c>
      <c r="S27" s="21">
        <f t="shared" si="3"/>
        <v>1.6277251760345888</v>
      </c>
      <c r="T27" s="22">
        <f>T90</f>
        <v>0</v>
      </c>
      <c r="U27" s="2"/>
      <c r="V27" s="2">
        <f>SUM(D25:D27)+T27</f>
        <v>112504.79653138999</v>
      </c>
    </row>
    <row r="28" spans="1:24" customFormat="1" x14ac:dyDescent="0.25">
      <c r="A28" s="17" t="s">
        <v>351</v>
      </c>
      <c r="B28" s="19">
        <v>0</v>
      </c>
      <c r="C28" s="19">
        <v>0</v>
      </c>
      <c r="D28" s="19">
        <v>13808.388916</v>
      </c>
      <c r="E28" s="19">
        <f t="shared" si="0"/>
        <v>13808.388916</v>
      </c>
      <c r="F28" s="19">
        <v>9293.4281819999997</v>
      </c>
      <c r="G28" s="19">
        <f t="shared" si="1"/>
        <v>4514.9607340000002</v>
      </c>
      <c r="H28" s="19"/>
      <c r="I28" s="19"/>
      <c r="J28" s="19"/>
      <c r="K28" s="19">
        <f>H28+J28</f>
        <v>0</v>
      </c>
      <c r="L28" s="19">
        <f>E28-K28</f>
        <v>13808.388916</v>
      </c>
      <c r="M28" s="19"/>
      <c r="N28" s="19"/>
      <c r="O28" s="19"/>
      <c r="P28" s="19"/>
      <c r="Q28" s="19"/>
      <c r="R28" s="20">
        <f>SUM(D25:D27)</f>
        <v>112504.79653138999</v>
      </c>
      <c r="S28" s="21"/>
      <c r="U28" s="2"/>
      <c r="V28" s="2"/>
      <c r="W28" s="76"/>
    </row>
    <row r="29" spans="1:24" customFormat="1" x14ac:dyDescent="0.25">
      <c r="A29" s="17"/>
      <c r="B29" s="19"/>
      <c r="C29" s="19"/>
      <c r="D29" s="19"/>
      <c r="E29" s="19"/>
      <c r="F29" s="19"/>
      <c r="G29" s="19">
        <f t="shared" si="1"/>
        <v>0</v>
      </c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20"/>
      <c r="S29" s="21"/>
      <c r="U29" s="2"/>
      <c r="V29" s="2"/>
    </row>
    <row r="30" spans="1:24" customFormat="1" x14ac:dyDescent="0.25">
      <c r="A30" s="17" t="s">
        <v>34</v>
      </c>
      <c r="B30" s="19">
        <v>40995.045100000003</v>
      </c>
      <c r="C30" s="19">
        <v>6308</v>
      </c>
      <c r="D30" s="19">
        <v>50317.907700000003</v>
      </c>
      <c r="E30" s="19">
        <f t="shared" si="0"/>
        <v>56625.907700000003</v>
      </c>
      <c r="F30" s="19">
        <v>31886.512500000001</v>
      </c>
      <c r="G30" s="19">
        <f t="shared" si="1"/>
        <v>24739.395200000003</v>
      </c>
      <c r="H30" s="19">
        <f>'[4]ICT-TRD'!L53/1000000</f>
        <v>10573.798289560002</v>
      </c>
      <c r="I30" s="19">
        <f>'[4]ICT-TRD'!M53/1000000</f>
        <v>253104.89678279002</v>
      </c>
      <c r="J30" s="19">
        <f>'[4]ICT-TRD'!N53/1000000</f>
        <v>107950.58050162002</v>
      </c>
      <c r="K30" s="19">
        <v>57895.694069689998</v>
      </c>
      <c r="L30" s="19">
        <f>E30-K30</f>
        <v>-1269.7863696899949</v>
      </c>
      <c r="M30" s="19">
        <v>52150</v>
      </c>
      <c r="N30" s="19">
        <f t="shared" si="2"/>
        <v>50880.213630310005</v>
      </c>
      <c r="O30" s="19" t="e">
        <f>#REF!</f>
        <v>#REF!</v>
      </c>
      <c r="P30" s="19" t="e">
        <f t="shared" si="4"/>
        <v>#REF!</v>
      </c>
      <c r="Q30" s="19">
        <v>180000</v>
      </c>
      <c r="R30" s="20">
        <f>+E30-'[4]ICT-TRD'!K53/1000000</f>
        <v>-207052.78737234997</v>
      </c>
      <c r="S30" s="21">
        <f t="shared" si="3"/>
        <v>-7.0543687204999714E-3</v>
      </c>
      <c r="U30" s="2">
        <f>'[4]ICT-TRD'!R53/1000000</f>
        <v>143959.85999999999</v>
      </c>
      <c r="V30" s="2"/>
    </row>
    <row r="31" spans="1:24" customFormat="1" x14ac:dyDescent="0.25">
      <c r="A31" s="17" t="s">
        <v>143</v>
      </c>
      <c r="B31" s="19">
        <v>278296.88599968451</v>
      </c>
      <c r="C31" s="19">
        <v>156148.78766151998</v>
      </c>
      <c r="D31" s="19">
        <v>266137.35582965001</v>
      </c>
      <c r="E31" s="19">
        <f t="shared" si="0"/>
        <v>422286.14349117002</v>
      </c>
      <c r="F31" s="19">
        <v>288642.42759360705</v>
      </c>
      <c r="G31" s="19">
        <f t="shared" si="1"/>
        <v>133643.71589756297</v>
      </c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20"/>
      <c r="S31" s="21"/>
      <c r="U31" s="2"/>
      <c r="V31" s="2"/>
    </row>
    <row r="32" spans="1:24" customFormat="1" x14ac:dyDescent="0.25">
      <c r="A32" s="17" t="s">
        <v>35</v>
      </c>
      <c r="B32" s="19">
        <v>25812.563083196666</v>
      </c>
      <c r="C32" s="19">
        <v>10097.853871825835</v>
      </c>
      <c r="D32" s="19">
        <v>24745.648285709998</v>
      </c>
      <c r="E32" s="19">
        <f t="shared" si="0"/>
        <v>34843.502157535833</v>
      </c>
      <c r="F32" s="19">
        <v>21230.478116011964</v>
      </c>
      <c r="G32" s="19">
        <f t="shared" si="1"/>
        <v>13613.02404152387</v>
      </c>
      <c r="H32" s="19">
        <f>'[4]ICT-S&amp;M'!L111/1000000</f>
        <v>2122.4031604000002</v>
      </c>
      <c r="I32" s="19">
        <f>'[4]ICT-S&amp;M'!M111/1000000</f>
        <v>70980.92336873668</v>
      </c>
      <c r="J32" s="19">
        <v>1273</v>
      </c>
      <c r="K32" s="19">
        <v>4759.747538261111</v>
      </c>
      <c r="L32" s="19">
        <f>E32-K32</f>
        <v>30083.754619274721</v>
      </c>
      <c r="M32" s="19"/>
      <c r="N32" s="19">
        <f t="shared" si="2"/>
        <v>30083.754619274721</v>
      </c>
      <c r="O32" s="19"/>
      <c r="P32" s="19">
        <f t="shared" si="4"/>
        <v>30083.754619274721</v>
      </c>
      <c r="Q32" s="19">
        <v>6000</v>
      </c>
      <c r="R32" s="20">
        <f>+E32-'[4]ICT-S&amp;M'!K111/1000000</f>
        <v>-45259.824371600851</v>
      </c>
      <c r="S32" s="21">
        <f t="shared" si="3"/>
        <v>5.0139591032124535</v>
      </c>
      <c r="U32" s="2">
        <f>'[4]ICT-S&amp;M'!R111/1000000</f>
        <v>2798.5907272700001</v>
      </c>
      <c r="V32" s="2"/>
    </row>
    <row r="33" spans="1:23" customFormat="1" x14ac:dyDescent="0.25">
      <c r="A33" s="17" t="s">
        <v>145</v>
      </c>
      <c r="B33" s="19">
        <v>47341.237558289242</v>
      </c>
      <c r="C33" s="19">
        <v>32717.344823645002</v>
      </c>
      <c r="D33" s="19">
        <f>117177.72638272-609.3129475</f>
        <v>116568.41343521999</v>
      </c>
      <c r="E33" s="19">
        <f t="shared" si="0"/>
        <v>149285.75825886498</v>
      </c>
      <c r="F33" s="19">
        <f>51042.4548559963</f>
        <v>51042.4548559963</v>
      </c>
      <c r="G33" s="19">
        <f t="shared" si="1"/>
        <v>98243.303402868682</v>
      </c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20"/>
      <c r="S33" s="21"/>
      <c r="U33" s="2"/>
      <c r="V33" s="2"/>
    </row>
    <row r="34" spans="1:23" s="130" customFormat="1" x14ac:dyDescent="0.25">
      <c r="A34" s="123" t="s">
        <v>36</v>
      </c>
      <c r="B34" s="124">
        <v>1528.2694240999999</v>
      </c>
      <c r="C34" s="124">
        <v>131.76351759999991</v>
      </c>
      <c r="D34" s="124">
        <v>609.31294749999995</v>
      </c>
      <c r="E34" s="124">
        <f t="shared" si="0"/>
        <v>741.07646509999984</v>
      </c>
      <c r="F34" s="124">
        <v>741.07646509999995</v>
      </c>
      <c r="G34" s="124">
        <f t="shared" si="1"/>
        <v>0</v>
      </c>
      <c r="H34" s="124"/>
      <c r="I34" s="124"/>
      <c r="J34" s="124">
        <v>1000</v>
      </c>
      <c r="K34" s="124">
        <v>37.123618</v>
      </c>
      <c r="L34" s="124"/>
      <c r="M34" s="124"/>
      <c r="N34" s="124">
        <f t="shared" si="2"/>
        <v>0</v>
      </c>
      <c r="O34" s="124">
        <f>H34+N34</f>
        <v>0</v>
      </c>
      <c r="P34" s="124">
        <f>I34+O34</f>
        <v>0</v>
      </c>
      <c r="Q34" s="124">
        <v>1000</v>
      </c>
      <c r="R34" s="125"/>
      <c r="S34" s="126">
        <f t="shared" si="3"/>
        <v>0</v>
      </c>
      <c r="T34" s="127">
        <f>T66</f>
        <v>0</v>
      </c>
      <c r="U34" s="128"/>
      <c r="V34" s="128">
        <f>SUM(D30:D34)+T34</f>
        <v>458378.63819807995</v>
      </c>
      <c r="W34" s="129"/>
    </row>
    <row r="35" spans="1:23" customFormat="1" x14ac:dyDescent="0.25">
      <c r="A35" s="17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7"/>
      <c r="M35" s="19"/>
      <c r="N35" s="19"/>
      <c r="O35" s="19"/>
      <c r="P35" s="19"/>
      <c r="Q35" s="19"/>
      <c r="R35" s="20"/>
      <c r="U35" s="2"/>
      <c r="V35" s="2"/>
    </row>
    <row r="36" spans="1:23" customFormat="1" ht="13" x14ac:dyDescent="0.3">
      <c r="A36" s="7" t="s">
        <v>12</v>
      </c>
      <c r="B36" s="24">
        <f t="shared" ref="B36:R36" si="5">SUM(B9:B35)</f>
        <v>1108444.8923064917</v>
      </c>
      <c r="C36" s="24">
        <f t="shared" si="5"/>
        <v>677025.76781490759</v>
      </c>
      <c r="D36" s="24">
        <f t="shared" si="5"/>
        <v>1117639.6045578502</v>
      </c>
      <c r="E36" s="24">
        <f t="shared" si="5"/>
        <v>1794665.3723727574</v>
      </c>
      <c r="F36" s="24">
        <f t="shared" si="5"/>
        <v>1073859.0093593104</v>
      </c>
      <c r="G36" s="24">
        <f t="shared" si="5"/>
        <v>720806.36301344715</v>
      </c>
      <c r="H36" s="24" t="e">
        <f t="shared" si="5"/>
        <v>#REF!</v>
      </c>
      <c r="I36" s="24" t="e">
        <f t="shared" si="5"/>
        <v>#REF!</v>
      </c>
      <c r="J36" s="24" t="e">
        <f t="shared" si="5"/>
        <v>#REF!</v>
      </c>
      <c r="K36" s="24">
        <f t="shared" si="5"/>
        <v>527253.48459832813</v>
      </c>
      <c r="L36" s="24">
        <f t="shared" si="5"/>
        <v>350336.79197682464</v>
      </c>
      <c r="M36" s="24">
        <f t="shared" si="5"/>
        <v>63050</v>
      </c>
      <c r="N36" s="24">
        <f t="shared" si="5"/>
        <v>399578.40306082461</v>
      </c>
      <c r="O36" s="24" t="e">
        <f t="shared" si="5"/>
        <v>#REF!</v>
      </c>
      <c r="P36" s="24" t="e">
        <f t="shared" si="5"/>
        <v>#REF!</v>
      </c>
      <c r="Q36" s="24">
        <f t="shared" si="5"/>
        <v>670000</v>
      </c>
      <c r="R36" s="24">
        <f t="shared" si="5"/>
        <v>398527.75786733872</v>
      </c>
      <c r="S36" s="25">
        <f t="shared" si="3"/>
        <v>0.52289073429376809</v>
      </c>
      <c r="T36" s="24">
        <f>SUM(T9:T35)</f>
        <v>231370</v>
      </c>
      <c r="U36" s="26" t="e">
        <f>SUM(U9:U35)</f>
        <v>#REF!</v>
      </c>
      <c r="V36" s="24">
        <f>SUM(V9:V35)</f>
        <v>1333455.6143608501</v>
      </c>
      <c r="W36" s="76">
        <f>+C36+D36-E36</f>
        <v>0</v>
      </c>
    </row>
    <row r="37" spans="1:23" customFormat="1" ht="13" x14ac:dyDescent="0.3">
      <c r="A37" s="27"/>
      <c r="B37" s="27"/>
      <c r="C37" s="28">
        <f>+C36/B36</f>
        <v>0.61078883805051254</v>
      </c>
      <c r="D37" s="27"/>
      <c r="E37" s="28">
        <f>+E36/B36</f>
        <v>1.6190839840836413</v>
      </c>
      <c r="F37" s="28"/>
      <c r="G37" s="28">
        <f>+G36/D36</f>
        <v>0.6449363104832041</v>
      </c>
      <c r="H37" s="28"/>
      <c r="I37" s="28"/>
      <c r="J37" s="28"/>
      <c r="K37" s="28"/>
      <c r="L37" s="27"/>
      <c r="M37" s="28"/>
      <c r="N37" s="28">
        <f>N36/Q36</f>
        <v>0.59638567621018601</v>
      </c>
      <c r="O37" s="28"/>
      <c r="P37" s="28" t="e">
        <f>P36/Q36</f>
        <v>#REF!</v>
      </c>
      <c r="Q37" s="27"/>
      <c r="R37" s="18"/>
      <c r="U37" s="2"/>
      <c r="V37" s="2"/>
    </row>
    <row r="38" spans="1:23" customFormat="1" ht="13" hidden="1" x14ac:dyDescent="0.3">
      <c r="E38" s="25" t="e">
        <f>E36/#REF!</f>
        <v>#REF!</v>
      </c>
      <c r="F38" s="25"/>
      <c r="G38" s="25"/>
      <c r="H38" s="25"/>
      <c r="I38" s="25"/>
      <c r="J38" s="25"/>
      <c r="K38" s="25"/>
      <c r="M38" s="25" t="e">
        <f>M36/#REF!</f>
        <v>#REF!</v>
      </c>
      <c r="N38" s="25" t="e">
        <f>N36/#REF!</f>
        <v>#REF!</v>
      </c>
      <c r="U38" s="2"/>
      <c r="V38" s="2"/>
    </row>
    <row r="39" spans="1:23" ht="13" x14ac:dyDescent="0.3"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T39" s="30">
        <f>E36+T36</f>
        <v>2026035.3723727574</v>
      </c>
    </row>
    <row r="40" spans="1:23" customFormat="1" x14ac:dyDescent="0.25">
      <c r="B40" s="32"/>
      <c r="C40" s="32"/>
      <c r="D40" s="32"/>
      <c r="E40" s="32"/>
      <c r="F40" s="116"/>
      <c r="G40" s="116"/>
      <c r="H40" s="32"/>
      <c r="I40" s="32"/>
      <c r="J40" s="32"/>
      <c r="K40" s="32"/>
      <c r="L40" s="32"/>
      <c r="M40" s="32"/>
      <c r="N40" s="33">
        <f>(N36-B36)/600000</f>
        <v>-1.1814441487427785</v>
      </c>
      <c r="U40" s="2"/>
      <c r="V40" s="2"/>
    </row>
    <row r="41" spans="1:23" s="32" customFormat="1" x14ac:dyDescent="0.25">
      <c r="A41" s="32" t="s">
        <v>38</v>
      </c>
      <c r="G41" s="120"/>
      <c r="U41" s="34"/>
      <c r="V41" s="34"/>
    </row>
    <row r="42" spans="1:23" customFormat="1" ht="13" x14ac:dyDescent="0.3">
      <c r="B42" s="35"/>
      <c r="C42" s="35"/>
      <c r="D42" s="35"/>
      <c r="E42" s="35"/>
      <c r="F42" s="35"/>
      <c r="G42" s="121"/>
      <c r="H42" s="35"/>
      <c r="I42" s="35"/>
      <c r="J42" s="35"/>
      <c r="K42" s="35"/>
      <c r="L42" s="32"/>
      <c r="M42" s="35"/>
      <c r="N42" s="35"/>
      <c r="U42" s="2"/>
      <c r="V42" s="2"/>
    </row>
    <row r="43" spans="1:23" customFormat="1" ht="13" x14ac:dyDescent="0.3">
      <c r="B43" s="35"/>
      <c r="C43" s="35"/>
      <c r="D43" s="35"/>
      <c r="E43" s="35"/>
      <c r="F43" s="35"/>
      <c r="G43" s="121"/>
      <c r="H43" s="35"/>
      <c r="I43" s="35"/>
      <c r="J43" s="35"/>
      <c r="K43" s="35"/>
      <c r="L43" s="32"/>
      <c r="M43" s="35"/>
      <c r="N43" s="35"/>
      <c r="U43" s="2"/>
      <c r="V43" s="2"/>
    </row>
    <row r="44" spans="1:23" s="40" customFormat="1" ht="13" hidden="1" x14ac:dyDescent="0.25">
      <c r="A44" s="36" t="s">
        <v>43</v>
      </c>
      <c r="B44" s="37"/>
      <c r="C44" s="37"/>
      <c r="D44" s="38"/>
      <c r="E44" s="39"/>
      <c r="F44" s="39"/>
      <c r="G44" s="39"/>
      <c r="H44" s="39"/>
      <c r="I44" s="39"/>
      <c r="J44" s="39"/>
      <c r="K44" s="39"/>
      <c r="M44" s="39"/>
      <c r="N44" s="39"/>
      <c r="U44" s="41"/>
      <c r="V44" s="41"/>
    </row>
    <row r="45" spans="1:23" s="40" customFormat="1" hidden="1" x14ac:dyDescent="0.25">
      <c r="A45" s="42" t="s">
        <v>44</v>
      </c>
      <c r="B45" s="43">
        <v>90000</v>
      </c>
      <c r="C45" s="43"/>
      <c r="D45" s="43"/>
      <c r="E45" s="44"/>
      <c r="F45" s="44"/>
      <c r="G45" s="44"/>
      <c r="H45" s="44"/>
      <c r="I45" s="44"/>
      <c r="J45" s="44"/>
      <c r="K45" s="44"/>
      <c r="M45" s="44"/>
      <c r="N45" s="44"/>
      <c r="U45" s="41"/>
      <c r="V45" s="41"/>
    </row>
    <row r="46" spans="1:23" s="46" customFormat="1" hidden="1" x14ac:dyDescent="0.25">
      <c r="A46" s="45" t="s">
        <v>45</v>
      </c>
      <c r="C46" s="47"/>
      <c r="D46" s="47"/>
      <c r="E46" s="48"/>
      <c r="F46" s="48"/>
      <c r="G46" s="48"/>
      <c r="H46" s="48"/>
      <c r="I46" s="48"/>
      <c r="J46" s="48"/>
      <c r="K46" s="48"/>
      <c r="M46" s="48"/>
      <c r="N46" s="48"/>
      <c r="T46" s="49">
        <v>4000</v>
      </c>
      <c r="U46" s="50"/>
      <c r="V46" s="50"/>
    </row>
    <row r="47" spans="1:23" s="46" customFormat="1" hidden="1" x14ac:dyDescent="0.25">
      <c r="A47" s="45" t="s">
        <v>46</v>
      </c>
      <c r="C47" s="47"/>
      <c r="D47" s="47"/>
      <c r="E47" s="48"/>
      <c r="F47" s="48"/>
      <c r="G47" s="48"/>
      <c r="H47" s="48"/>
      <c r="I47" s="48"/>
      <c r="J47" s="48"/>
      <c r="K47" s="48"/>
      <c r="M47" s="48"/>
      <c r="N47" s="48"/>
      <c r="T47" s="49">
        <v>200000</v>
      </c>
      <c r="U47" s="50"/>
      <c r="V47" s="50"/>
    </row>
    <row r="48" spans="1:23" s="40" customFormat="1" hidden="1" x14ac:dyDescent="0.25">
      <c r="A48" s="42" t="s">
        <v>47</v>
      </c>
      <c r="B48" s="43"/>
      <c r="C48" s="43"/>
      <c r="D48" s="43"/>
      <c r="E48" s="44"/>
      <c r="F48" s="44"/>
      <c r="G48" s="44"/>
      <c r="H48" s="44"/>
      <c r="I48" s="44"/>
      <c r="J48" s="44"/>
      <c r="K48" s="44"/>
      <c r="M48" s="44"/>
      <c r="N48" s="44"/>
      <c r="T48" s="41"/>
      <c r="U48" s="41"/>
      <c r="V48" s="41"/>
    </row>
    <row r="49" spans="1:22" s="40" customFormat="1" hidden="1" x14ac:dyDescent="0.25">
      <c r="A49" s="42" t="s">
        <v>48</v>
      </c>
      <c r="B49" s="43">
        <v>65000</v>
      </c>
      <c r="C49" s="43"/>
      <c r="D49" s="43"/>
      <c r="E49" s="44"/>
      <c r="F49" s="44"/>
      <c r="G49" s="44"/>
      <c r="H49" s="44"/>
      <c r="I49" s="44"/>
      <c r="J49" s="44"/>
      <c r="K49" s="44"/>
      <c r="M49" s="44"/>
      <c r="N49" s="44"/>
      <c r="T49" s="41"/>
      <c r="U49" s="41"/>
      <c r="V49" s="41"/>
    </row>
    <row r="50" spans="1:22" s="40" customFormat="1" hidden="1" x14ac:dyDescent="0.25">
      <c r="A50" s="42" t="s">
        <v>49</v>
      </c>
      <c r="B50" s="43">
        <v>14000</v>
      </c>
      <c r="C50" s="43"/>
      <c r="D50" s="43"/>
      <c r="E50" s="44"/>
      <c r="F50" s="44"/>
      <c r="G50" s="44"/>
      <c r="H50" s="44"/>
      <c r="I50" s="44"/>
      <c r="J50" s="44"/>
      <c r="K50" s="44"/>
      <c r="M50" s="44"/>
      <c r="N50" s="44"/>
      <c r="T50" s="41"/>
      <c r="U50" s="41"/>
      <c r="V50" s="41"/>
    </row>
    <row r="51" spans="1:22" s="46" customFormat="1" hidden="1" x14ac:dyDescent="0.25">
      <c r="A51" s="45" t="s">
        <v>50</v>
      </c>
      <c r="B51" s="47"/>
      <c r="C51" s="47"/>
      <c r="D51" s="47"/>
      <c r="E51" s="48"/>
      <c r="F51" s="48"/>
      <c r="G51" s="48"/>
      <c r="H51" s="48"/>
      <c r="I51" s="48"/>
      <c r="J51" s="48"/>
      <c r="K51" s="48"/>
      <c r="M51" s="48"/>
      <c r="N51" s="48"/>
      <c r="T51" s="50">
        <v>4000</v>
      </c>
      <c r="U51" s="50"/>
      <c r="V51" s="50"/>
    </row>
    <row r="52" spans="1:22" s="40" customFormat="1" hidden="1" x14ac:dyDescent="0.25">
      <c r="A52" s="42" t="s">
        <v>51</v>
      </c>
      <c r="B52" s="43">
        <v>30000</v>
      </c>
      <c r="C52" s="43"/>
      <c r="D52" s="43"/>
      <c r="E52" s="44"/>
      <c r="F52" s="44"/>
      <c r="G52" s="44"/>
      <c r="H52" s="44"/>
      <c r="I52" s="44"/>
      <c r="J52" s="44"/>
      <c r="K52" s="44"/>
      <c r="M52" s="44"/>
      <c r="N52" s="44"/>
      <c r="U52" s="41"/>
      <c r="V52" s="41"/>
    </row>
    <row r="53" spans="1:22" s="40" customFormat="1" hidden="1" x14ac:dyDescent="0.25">
      <c r="A53" s="42"/>
      <c r="B53" s="43"/>
      <c r="C53" s="43"/>
      <c r="D53" s="43"/>
      <c r="E53" s="44"/>
      <c r="F53" s="44"/>
      <c r="G53" s="44"/>
      <c r="H53" s="44"/>
      <c r="I53" s="44"/>
      <c r="J53" s="44"/>
      <c r="K53" s="44"/>
      <c r="M53" s="44"/>
      <c r="N53" s="44"/>
      <c r="U53" s="41"/>
      <c r="V53" s="41"/>
    </row>
    <row r="54" spans="1:22" s="40" customFormat="1" ht="13" hidden="1" x14ac:dyDescent="0.25">
      <c r="A54" s="51"/>
      <c r="B54" s="52">
        <f>SUM(B45:B52)</f>
        <v>199000</v>
      </c>
      <c r="C54" s="52">
        <f>SUM(C45:C52)</f>
        <v>0</v>
      </c>
      <c r="D54" s="52">
        <f>SUM(D45:D52)</f>
        <v>0</v>
      </c>
      <c r="E54" s="53">
        <f>B54+D54</f>
        <v>199000</v>
      </c>
      <c r="F54" s="55"/>
      <c r="G54" s="55"/>
      <c r="H54" s="54">
        <v>0.3</v>
      </c>
      <c r="I54" s="55">
        <f>E54*H54</f>
        <v>59700</v>
      </c>
      <c r="J54" s="55"/>
      <c r="K54" s="55"/>
      <c r="M54" s="55"/>
      <c r="N54" s="55"/>
      <c r="T54" s="56">
        <f>SUM(T45:T52)</f>
        <v>208000</v>
      </c>
      <c r="U54" s="57">
        <v>0.2</v>
      </c>
      <c r="V54" s="41">
        <f>E54*U54</f>
        <v>39800</v>
      </c>
    </row>
    <row r="55" spans="1:22" s="40" customFormat="1" ht="13" hidden="1" x14ac:dyDescent="0.25">
      <c r="A55" s="51"/>
      <c r="B55" s="58"/>
      <c r="C55" s="58"/>
      <c r="D55" s="58"/>
      <c r="E55" s="55"/>
      <c r="F55" s="55"/>
      <c r="G55" s="55"/>
      <c r="H55" s="54"/>
      <c r="I55" s="55"/>
      <c r="J55" s="55"/>
      <c r="K55" s="55"/>
      <c r="M55" s="55"/>
      <c r="N55" s="55"/>
      <c r="T55" s="58"/>
      <c r="U55" s="41"/>
      <c r="V55" s="41"/>
    </row>
    <row r="56" spans="1:22" s="40" customFormat="1" ht="13" hidden="1" x14ac:dyDescent="0.25">
      <c r="A56" s="36" t="s">
        <v>52</v>
      </c>
      <c r="B56" s="59"/>
      <c r="C56" s="43"/>
      <c r="D56" s="59"/>
      <c r="E56" s="59"/>
      <c r="F56" s="59"/>
      <c r="G56" s="59"/>
      <c r="H56" s="59"/>
      <c r="I56" s="59"/>
      <c r="J56" s="59"/>
      <c r="K56" s="59"/>
      <c r="M56" s="59"/>
      <c r="N56" s="59"/>
      <c r="U56" s="41"/>
      <c r="V56" s="41"/>
    </row>
    <row r="57" spans="1:22" s="40" customFormat="1" hidden="1" x14ac:dyDescent="0.25">
      <c r="A57" s="42" t="s">
        <v>53</v>
      </c>
      <c r="B57" s="59">
        <v>6000</v>
      </c>
      <c r="C57" s="59"/>
      <c r="D57" s="59"/>
      <c r="E57" s="44"/>
      <c r="F57" s="44"/>
      <c r="G57" s="44"/>
      <c r="H57" s="44"/>
      <c r="I57" s="44"/>
      <c r="J57" s="44"/>
      <c r="K57" s="44"/>
      <c r="M57" s="44"/>
      <c r="N57" s="44"/>
      <c r="U57" s="41"/>
      <c r="V57" s="41"/>
    </row>
    <row r="58" spans="1:22" s="61" customFormat="1" hidden="1" x14ac:dyDescent="0.25">
      <c r="A58" s="42" t="s">
        <v>54</v>
      </c>
      <c r="B58" s="60">
        <v>28000</v>
      </c>
      <c r="C58" s="59"/>
      <c r="D58" s="59"/>
      <c r="E58" s="44"/>
      <c r="F58" s="44"/>
      <c r="G58" s="44"/>
      <c r="H58" s="44"/>
      <c r="I58" s="44"/>
      <c r="J58" s="44"/>
      <c r="K58" s="44"/>
      <c r="M58" s="44"/>
      <c r="N58" s="44"/>
      <c r="U58" s="62"/>
      <c r="V58" s="62"/>
    </row>
    <row r="59" spans="1:22" s="61" customFormat="1" hidden="1" x14ac:dyDescent="0.25">
      <c r="A59" s="42" t="s">
        <v>55</v>
      </c>
      <c r="B59" s="63">
        <v>350</v>
      </c>
      <c r="C59" s="59">
        <f>(3700000)</f>
        <v>3700000</v>
      </c>
      <c r="D59" s="59">
        <f>C59*12000/1000000</f>
        <v>44400</v>
      </c>
      <c r="E59" s="44"/>
      <c r="F59" s="44"/>
      <c r="G59" s="44"/>
      <c r="H59" s="44"/>
      <c r="I59" s="44"/>
      <c r="J59" s="44"/>
      <c r="K59" s="44"/>
      <c r="M59" s="44"/>
      <c r="N59" s="44"/>
      <c r="U59" s="62"/>
      <c r="V59" s="62"/>
    </row>
    <row r="60" spans="1:22" s="61" customFormat="1" hidden="1" x14ac:dyDescent="0.25">
      <c r="A60" s="42" t="s">
        <v>56</v>
      </c>
      <c r="B60" s="59"/>
      <c r="C60" s="59">
        <v>100000</v>
      </c>
      <c r="D60" s="59">
        <f>C60*13000/1000000</f>
        <v>1300</v>
      </c>
      <c r="E60" s="44"/>
      <c r="F60" s="44"/>
      <c r="G60" s="44"/>
      <c r="H60" s="44"/>
      <c r="I60" s="44"/>
      <c r="J60" s="44"/>
      <c r="K60" s="44"/>
      <c r="M60" s="44"/>
      <c r="N60" s="44"/>
      <c r="T60" s="63"/>
      <c r="U60" s="62"/>
      <c r="V60" s="62"/>
    </row>
    <row r="61" spans="1:22" s="61" customFormat="1" ht="25" hidden="1" x14ac:dyDescent="0.25">
      <c r="A61" s="42" t="s">
        <v>57</v>
      </c>
      <c r="B61" s="59">
        <v>11000</v>
      </c>
      <c r="C61" s="59"/>
      <c r="D61" s="59"/>
      <c r="E61" s="44"/>
      <c r="F61" s="44"/>
      <c r="G61" s="44"/>
      <c r="H61" s="44"/>
      <c r="I61" s="44"/>
      <c r="J61" s="44"/>
      <c r="K61" s="44"/>
      <c r="M61" s="44"/>
      <c r="N61" s="44"/>
      <c r="T61" s="63"/>
      <c r="U61" s="62"/>
      <c r="V61" s="62"/>
    </row>
    <row r="62" spans="1:22" s="61" customFormat="1" hidden="1" x14ac:dyDescent="0.25">
      <c r="A62" s="42" t="s">
        <v>58</v>
      </c>
      <c r="B62" s="59">
        <v>80000</v>
      </c>
      <c r="C62" s="59"/>
      <c r="D62" s="59"/>
      <c r="E62" s="44"/>
      <c r="F62" s="44"/>
      <c r="G62" s="44"/>
      <c r="H62" s="44"/>
      <c r="I62" s="44"/>
      <c r="J62" s="44"/>
      <c r="K62" s="44"/>
      <c r="M62" s="44"/>
      <c r="N62" s="44"/>
      <c r="T62" s="63"/>
      <c r="U62" s="62"/>
      <c r="V62" s="62"/>
    </row>
    <row r="63" spans="1:22" s="61" customFormat="1" hidden="1" x14ac:dyDescent="0.25">
      <c r="A63" s="42" t="s">
        <v>59</v>
      </c>
      <c r="B63" s="59">
        <v>70000</v>
      </c>
      <c r="C63" s="59"/>
      <c r="D63" s="59"/>
      <c r="E63" s="44"/>
      <c r="F63" s="44"/>
      <c r="G63" s="44"/>
      <c r="H63" s="44"/>
      <c r="I63" s="44"/>
      <c r="J63" s="44"/>
      <c r="K63" s="44"/>
      <c r="M63" s="44"/>
      <c r="N63" s="44"/>
      <c r="T63" s="63"/>
      <c r="U63" s="62"/>
      <c r="V63" s="62"/>
    </row>
    <row r="64" spans="1:22" s="61" customFormat="1" ht="25" hidden="1" x14ac:dyDescent="0.25">
      <c r="A64" s="42" t="s">
        <v>60</v>
      </c>
      <c r="B64" s="59">
        <v>20000</v>
      </c>
      <c r="C64" s="59"/>
      <c r="D64" s="59"/>
      <c r="E64" s="44"/>
      <c r="F64" s="44"/>
      <c r="G64" s="44"/>
      <c r="H64" s="44"/>
      <c r="I64" s="44"/>
      <c r="J64" s="44"/>
      <c r="K64" s="44"/>
      <c r="M64" s="44"/>
      <c r="N64" s="44"/>
      <c r="T64" s="63"/>
      <c r="U64" s="62"/>
      <c r="V64" s="62"/>
    </row>
    <row r="65" spans="1:22" s="61" customFormat="1" hidden="1" x14ac:dyDescent="0.25">
      <c r="A65" s="42"/>
      <c r="B65" s="59"/>
      <c r="C65" s="59"/>
      <c r="D65" s="59"/>
      <c r="E65" s="44"/>
      <c r="F65" s="44"/>
      <c r="G65" s="44"/>
      <c r="H65" s="44"/>
      <c r="I65" s="44"/>
      <c r="J65" s="44"/>
      <c r="K65" s="44"/>
      <c r="M65" s="44"/>
      <c r="N65" s="44"/>
      <c r="U65" s="62"/>
      <c r="V65" s="62"/>
    </row>
    <row r="66" spans="1:22" s="40" customFormat="1" ht="13" hidden="1" x14ac:dyDescent="0.25">
      <c r="A66" s="51"/>
      <c r="B66" s="64">
        <f>SUM(B57:B65)</f>
        <v>215350</v>
      </c>
      <c r="C66" s="64">
        <f>SUM(C57:C65)</f>
        <v>3800000</v>
      </c>
      <c r="D66" s="64">
        <f>SUM(D57:D65)</f>
        <v>45700</v>
      </c>
      <c r="E66" s="53">
        <f>B66+D66</f>
        <v>261050</v>
      </c>
      <c r="F66" s="55"/>
      <c r="G66" s="55"/>
      <c r="H66" s="54">
        <v>0.2</v>
      </c>
      <c r="I66" s="55">
        <f>E66*H66</f>
        <v>52210</v>
      </c>
      <c r="J66" s="55"/>
      <c r="K66" s="55"/>
      <c r="M66" s="55"/>
      <c r="N66" s="55"/>
      <c r="T66" s="65">
        <f>SUM(T57:T65)</f>
        <v>0</v>
      </c>
      <c r="U66" s="57">
        <v>0.15</v>
      </c>
      <c r="V66" s="41">
        <f>E66*U66</f>
        <v>39157.5</v>
      </c>
    </row>
    <row r="67" spans="1:22" s="40" customFormat="1" ht="13" hidden="1" x14ac:dyDescent="0.25">
      <c r="A67" s="51"/>
      <c r="B67" s="66"/>
      <c r="C67" s="66"/>
      <c r="D67" s="66"/>
      <c r="E67" s="55"/>
      <c r="F67" s="55"/>
      <c r="G67" s="55"/>
      <c r="H67" s="54"/>
      <c r="I67" s="55"/>
      <c r="J67" s="55"/>
      <c r="K67" s="55"/>
      <c r="M67" s="55"/>
      <c r="N67" s="55"/>
      <c r="U67" s="41"/>
      <c r="V67" s="41"/>
    </row>
    <row r="68" spans="1:22" s="40" customFormat="1" ht="13" hidden="1" x14ac:dyDescent="0.25">
      <c r="A68" s="36" t="s">
        <v>61</v>
      </c>
      <c r="B68" s="43"/>
      <c r="C68" s="59"/>
      <c r="D68" s="43"/>
      <c r="E68" s="44"/>
      <c r="F68" s="44"/>
      <c r="G68" s="44"/>
      <c r="H68" s="44"/>
      <c r="I68" s="44"/>
      <c r="J68" s="44"/>
      <c r="K68" s="44"/>
      <c r="M68" s="44"/>
      <c r="N68" s="44"/>
      <c r="U68" s="41"/>
      <c r="V68" s="41"/>
    </row>
    <row r="69" spans="1:22" s="40" customFormat="1" hidden="1" x14ac:dyDescent="0.25">
      <c r="A69" s="42" t="s">
        <v>62</v>
      </c>
      <c r="B69" s="59">
        <v>2000</v>
      </c>
      <c r="C69" s="59"/>
      <c r="D69" s="43">
        <f>C69*9700/1000000</f>
        <v>0</v>
      </c>
      <c r="E69" s="44"/>
      <c r="F69" s="44"/>
      <c r="G69" s="44"/>
      <c r="H69" s="44"/>
      <c r="I69" s="44"/>
      <c r="J69" s="44"/>
      <c r="K69" s="44"/>
      <c r="M69" s="44"/>
      <c r="N69" s="44"/>
      <c r="U69" s="41"/>
      <c r="V69" s="41"/>
    </row>
    <row r="70" spans="1:22" hidden="1" x14ac:dyDescent="0.25">
      <c r="A70" s="42" t="s">
        <v>63</v>
      </c>
      <c r="B70" s="59">
        <v>20000</v>
      </c>
      <c r="D70" s="43"/>
    </row>
    <row r="71" spans="1:22" hidden="1" x14ac:dyDescent="0.25">
      <c r="A71" s="42" t="s">
        <v>64</v>
      </c>
      <c r="B71" s="59">
        <v>50000</v>
      </c>
      <c r="D71" s="43"/>
    </row>
    <row r="72" spans="1:22" hidden="1" x14ac:dyDescent="0.25">
      <c r="A72" s="42" t="s">
        <v>65</v>
      </c>
      <c r="B72" s="59">
        <v>40000</v>
      </c>
      <c r="D72" s="43"/>
    </row>
    <row r="73" spans="1:22" hidden="1" x14ac:dyDescent="0.25">
      <c r="A73" s="42" t="s">
        <v>66</v>
      </c>
      <c r="B73" s="59">
        <v>2000</v>
      </c>
      <c r="D73" s="43"/>
    </row>
    <row r="74" spans="1:22" hidden="1" x14ac:dyDescent="0.25">
      <c r="A74" s="42"/>
      <c r="B74" s="59"/>
      <c r="D74" s="43"/>
    </row>
    <row r="75" spans="1:22" hidden="1" x14ac:dyDescent="0.25">
      <c r="A75" s="42"/>
      <c r="B75" s="59"/>
      <c r="D75" s="43"/>
    </row>
    <row r="76" spans="1:22" hidden="1" x14ac:dyDescent="0.25">
      <c r="A76" s="42"/>
      <c r="B76" s="59"/>
      <c r="D76" s="43"/>
    </row>
    <row r="77" spans="1:22" ht="13" hidden="1" x14ac:dyDescent="0.25">
      <c r="A77" s="36" t="s">
        <v>67</v>
      </c>
      <c r="B77" s="59"/>
      <c r="D77" s="43"/>
    </row>
    <row r="78" spans="1:22" hidden="1" x14ac:dyDescent="0.25">
      <c r="A78" s="42" t="s">
        <v>68</v>
      </c>
      <c r="B78" s="59">
        <v>1500</v>
      </c>
      <c r="D78" s="43"/>
    </row>
    <row r="79" spans="1:22" s="68" customFormat="1" hidden="1" x14ac:dyDescent="0.25">
      <c r="A79" s="42" t="s">
        <v>69</v>
      </c>
      <c r="B79" s="67">
        <v>1800</v>
      </c>
      <c r="D79" s="43"/>
      <c r="T79" s="59"/>
      <c r="U79" s="67"/>
      <c r="V79" s="67"/>
    </row>
    <row r="80" spans="1:22" hidden="1" x14ac:dyDescent="0.25">
      <c r="A80" s="42" t="s">
        <v>70</v>
      </c>
      <c r="B80" s="59">
        <v>7000</v>
      </c>
      <c r="D80" s="43"/>
    </row>
    <row r="81" spans="1:22" s="68" customFormat="1" hidden="1" x14ac:dyDescent="0.25">
      <c r="A81" s="42" t="s">
        <v>71</v>
      </c>
      <c r="B81" s="67">
        <v>3000</v>
      </c>
      <c r="D81" s="43"/>
      <c r="T81" s="59"/>
      <c r="U81" s="67"/>
      <c r="V81" s="67"/>
    </row>
    <row r="82" spans="1:22" s="68" customFormat="1" hidden="1" x14ac:dyDescent="0.25">
      <c r="A82" s="42" t="s">
        <v>72</v>
      </c>
      <c r="B82" s="67"/>
      <c r="C82" s="67">
        <v>140000</v>
      </c>
      <c r="D82" s="59">
        <f t="shared" ref="D82:D87" si="6">C82*13000/1000000</f>
        <v>1820</v>
      </c>
      <c r="T82" s="59"/>
      <c r="U82" s="67"/>
      <c r="V82" s="67"/>
    </row>
    <row r="83" spans="1:22" s="68" customFormat="1" hidden="1" x14ac:dyDescent="0.25">
      <c r="A83" s="42" t="s">
        <v>73</v>
      </c>
      <c r="B83" s="67"/>
      <c r="C83" s="67">
        <v>150000</v>
      </c>
      <c r="D83" s="59">
        <f t="shared" si="6"/>
        <v>1950</v>
      </c>
      <c r="T83" s="59"/>
      <c r="U83" s="67"/>
      <c r="V83" s="67"/>
    </row>
    <row r="84" spans="1:22" s="68" customFormat="1" hidden="1" x14ac:dyDescent="0.25">
      <c r="A84" s="42" t="s">
        <v>74</v>
      </c>
      <c r="B84" s="67"/>
      <c r="C84" s="67">
        <v>120000</v>
      </c>
      <c r="D84" s="59">
        <f t="shared" si="6"/>
        <v>1560</v>
      </c>
      <c r="T84" s="59"/>
      <c r="U84" s="67"/>
      <c r="V84" s="67"/>
    </row>
    <row r="85" spans="1:22" s="68" customFormat="1" hidden="1" x14ac:dyDescent="0.25">
      <c r="A85" s="42" t="s">
        <v>75</v>
      </c>
      <c r="B85" s="67"/>
      <c r="C85" s="67">
        <v>90000</v>
      </c>
      <c r="D85" s="59">
        <f t="shared" si="6"/>
        <v>1170</v>
      </c>
      <c r="T85" s="59"/>
      <c r="U85" s="67"/>
      <c r="V85" s="67"/>
    </row>
    <row r="86" spans="1:22" s="68" customFormat="1" hidden="1" x14ac:dyDescent="0.25">
      <c r="A86" s="42" t="s">
        <v>76</v>
      </c>
      <c r="B86" s="67"/>
      <c r="C86" s="67">
        <v>105000</v>
      </c>
      <c r="D86" s="59">
        <f t="shared" si="6"/>
        <v>1365</v>
      </c>
      <c r="T86" s="59"/>
      <c r="U86" s="67"/>
      <c r="V86" s="67"/>
    </row>
    <row r="87" spans="1:22" s="68" customFormat="1" hidden="1" x14ac:dyDescent="0.25">
      <c r="A87" s="42" t="s">
        <v>77</v>
      </c>
      <c r="B87" s="67"/>
      <c r="C87" s="67">
        <v>150000</v>
      </c>
      <c r="D87" s="59">
        <f t="shared" si="6"/>
        <v>1950</v>
      </c>
      <c r="T87" s="59"/>
      <c r="U87" s="67"/>
      <c r="V87" s="67"/>
    </row>
    <row r="88" spans="1:22" s="68" customFormat="1" hidden="1" x14ac:dyDescent="0.25">
      <c r="A88" s="42"/>
      <c r="B88" s="67"/>
      <c r="D88" s="43"/>
      <c r="T88" s="59"/>
      <c r="U88" s="67"/>
      <c r="V88" s="67"/>
    </row>
    <row r="89" spans="1:22" hidden="1" x14ac:dyDescent="0.25"/>
    <row r="90" spans="1:22" s="40" customFormat="1" ht="13" hidden="1" x14ac:dyDescent="0.25">
      <c r="A90" s="36"/>
      <c r="B90" s="52">
        <f>SUM(B67:B89)</f>
        <v>127300</v>
      </c>
      <c r="C90" s="52">
        <f>SUM(C67:C89)</f>
        <v>755000</v>
      </c>
      <c r="D90" s="52">
        <f>SUM(D67:D89)</f>
        <v>9815</v>
      </c>
      <c r="E90" s="53">
        <f>B90+D90</f>
        <v>137115</v>
      </c>
      <c r="F90" s="53"/>
      <c r="G90" s="53"/>
      <c r="H90" s="52">
        <f t="shared" ref="H90:T90" si="7">SUM(H67:H89)</f>
        <v>0</v>
      </c>
      <c r="I90" s="52">
        <f t="shared" si="7"/>
        <v>0</v>
      </c>
      <c r="J90" s="52">
        <f t="shared" si="7"/>
        <v>0</v>
      </c>
      <c r="K90" s="52">
        <f t="shared" si="7"/>
        <v>0</v>
      </c>
      <c r="L90" s="52">
        <f t="shared" si="7"/>
        <v>0</v>
      </c>
      <c r="M90" s="52">
        <f t="shared" si="7"/>
        <v>0</v>
      </c>
      <c r="N90" s="52">
        <f t="shared" si="7"/>
        <v>0</v>
      </c>
      <c r="O90" s="52">
        <f t="shared" si="7"/>
        <v>0</v>
      </c>
      <c r="P90" s="52">
        <f t="shared" si="7"/>
        <v>0</v>
      </c>
      <c r="Q90" s="52">
        <f t="shared" si="7"/>
        <v>0</v>
      </c>
      <c r="R90" s="52"/>
      <c r="S90" s="52">
        <f t="shared" si="7"/>
        <v>0</v>
      </c>
      <c r="T90" s="52">
        <f t="shared" si="7"/>
        <v>0</v>
      </c>
      <c r="U90" s="57">
        <v>0.2</v>
      </c>
      <c r="V90" s="41">
        <f>E90*U90</f>
        <v>27423</v>
      </c>
    </row>
    <row r="91" spans="1:22" s="40" customFormat="1" ht="13" hidden="1" x14ac:dyDescent="0.25">
      <c r="A91" s="36"/>
      <c r="B91" s="58"/>
      <c r="C91" s="58"/>
      <c r="D91" s="58"/>
      <c r="E91" s="55"/>
      <c r="F91" s="55"/>
      <c r="G91" s="55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41"/>
      <c r="V91" s="41"/>
    </row>
    <row r="92" spans="1:22" s="40" customFormat="1" ht="13" hidden="1" x14ac:dyDescent="0.25">
      <c r="A92" s="36" t="s">
        <v>78</v>
      </c>
      <c r="B92" s="43"/>
      <c r="C92" s="59"/>
      <c r="D92" s="43"/>
      <c r="E92" s="44"/>
      <c r="F92" s="44"/>
      <c r="G92" s="44"/>
      <c r="H92" s="44"/>
      <c r="I92" s="44"/>
      <c r="J92" s="44"/>
      <c r="K92" s="44"/>
      <c r="M92" s="44"/>
      <c r="N92" s="44"/>
      <c r="U92" s="41"/>
      <c r="V92" s="41"/>
    </row>
    <row r="93" spans="1:22" s="40" customFormat="1" hidden="1" x14ac:dyDescent="0.25">
      <c r="A93" s="42" t="s">
        <v>64</v>
      </c>
      <c r="B93" s="59">
        <v>10000</v>
      </c>
      <c r="C93" s="59"/>
      <c r="D93" s="43"/>
      <c r="E93" s="44"/>
      <c r="F93" s="44"/>
      <c r="G93" s="44"/>
      <c r="H93" s="44"/>
      <c r="I93" s="44"/>
      <c r="J93" s="44"/>
      <c r="K93" s="44"/>
      <c r="M93" s="44"/>
      <c r="N93" s="44"/>
      <c r="U93" s="41"/>
      <c r="V93" s="41"/>
    </row>
    <row r="94" spans="1:22" s="40" customFormat="1" hidden="1" x14ac:dyDescent="0.25">
      <c r="A94" s="42" t="s">
        <v>79</v>
      </c>
      <c r="B94" s="59">
        <v>5000</v>
      </c>
      <c r="C94" s="59"/>
      <c r="D94" s="43"/>
      <c r="E94" s="44"/>
      <c r="F94" s="44"/>
      <c r="G94" s="44"/>
      <c r="H94" s="44"/>
      <c r="I94" s="44"/>
      <c r="J94" s="44"/>
      <c r="K94" s="44"/>
      <c r="M94" s="44"/>
      <c r="N94" s="44"/>
      <c r="U94" s="41"/>
      <c r="V94" s="41"/>
    </row>
    <row r="95" spans="1:22" s="40" customFormat="1" hidden="1" x14ac:dyDescent="0.25">
      <c r="A95" s="42" t="s">
        <v>80</v>
      </c>
      <c r="B95" s="59">
        <v>1500</v>
      </c>
      <c r="C95" s="59"/>
      <c r="D95" s="43"/>
      <c r="E95" s="44"/>
      <c r="F95" s="44"/>
      <c r="G95" s="44"/>
      <c r="H95" s="44"/>
      <c r="I95" s="44"/>
      <c r="J95" s="44"/>
      <c r="K95" s="44"/>
      <c r="M95" s="44"/>
      <c r="N95" s="44"/>
      <c r="U95" s="41"/>
      <c r="V95" s="41"/>
    </row>
    <row r="96" spans="1:22" s="40" customFormat="1" hidden="1" x14ac:dyDescent="0.25">
      <c r="A96" s="42" t="s">
        <v>81</v>
      </c>
      <c r="B96" s="59">
        <v>3500</v>
      </c>
      <c r="C96" s="59"/>
      <c r="D96" s="43"/>
      <c r="E96" s="44"/>
      <c r="F96" s="44"/>
      <c r="G96" s="44"/>
      <c r="H96" s="44"/>
      <c r="I96" s="44"/>
      <c r="J96" s="44"/>
      <c r="K96" s="44"/>
      <c r="M96" s="44"/>
      <c r="N96" s="44"/>
      <c r="U96" s="41"/>
      <c r="V96" s="41"/>
    </row>
    <row r="97" spans="1:22" s="40" customFormat="1" hidden="1" x14ac:dyDescent="0.25">
      <c r="A97" s="42" t="s">
        <v>82</v>
      </c>
      <c r="B97" s="59">
        <v>4000</v>
      </c>
      <c r="C97" s="59"/>
      <c r="D97" s="43"/>
      <c r="E97" s="44"/>
      <c r="F97" s="44"/>
      <c r="G97" s="44"/>
      <c r="H97" s="44"/>
      <c r="I97" s="44"/>
      <c r="J97" s="44"/>
      <c r="K97" s="44"/>
      <c r="M97" s="44"/>
      <c r="N97" s="44"/>
      <c r="U97" s="41"/>
      <c r="V97" s="41"/>
    </row>
    <row r="98" spans="1:22" s="40" customFormat="1" hidden="1" x14ac:dyDescent="0.25">
      <c r="A98" s="42" t="s">
        <v>83</v>
      </c>
      <c r="B98" s="59">
        <v>2000</v>
      </c>
      <c r="C98" s="59"/>
      <c r="D98" s="43"/>
      <c r="E98" s="44"/>
      <c r="F98" s="44"/>
      <c r="G98" s="44"/>
      <c r="H98" s="44"/>
      <c r="I98" s="44"/>
      <c r="J98" s="44"/>
      <c r="K98" s="44"/>
      <c r="M98" s="44"/>
      <c r="N98" s="44"/>
      <c r="U98" s="41"/>
      <c r="V98" s="41"/>
    </row>
    <row r="99" spans="1:22" s="40" customFormat="1" hidden="1" x14ac:dyDescent="0.25">
      <c r="A99" s="42" t="s">
        <v>84</v>
      </c>
      <c r="B99" s="59">
        <v>15000</v>
      </c>
      <c r="C99" s="59"/>
      <c r="D99" s="43"/>
      <c r="E99" s="44"/>
      <c r="F99" s="44"/>
      <c r="G99" s="44"/>
      <c r="H99" s="44"/>
      <c r="I99" s="44"/>
      <c r="J99" s="44"/>
      <c r="K99" s="44"/>
      <c r="M99" s="44"/>
      <c r="N99" s="44"/>
      <c r="U99" s="41"/>
      <c r="V99" s="41"/>
    </row>
    <row r="100" spans="1:22" s="46" customFormat="1" hidden="1" x14ac:dyDescent="0.25">
      <c r="A100" s="45" t="s">
        <v>85</v>
      </c>
      <c r="C100" s="69"/>
      <c r="D100" s="47"/>
      <c r="E100" s="48"/>
      <c r="F100" s="48"/>
      <c r="G100" s="48"/>
      <c r="H100" s="48"/>
      <c r="I100" s="48"/>
      <c r="J100" s="48"/>
      <c r="K100" s="48"/>
      <c r="M100" s="48"/>
      <c r="N100" s="48"/>
      <c r="T100" s="69">
        <v>5000</v>
      </c>
      <c r="U100" s="50"/>
      <c r="V100" s="50"/>
    </row>
    <row r="101" spans="1:22" s="61" customFormat="1" hidden="1" x14ac:dyDescent="0.25">
      <c r="A101" s="42" t="s">
        <v>86</v>
      </c>
      <c r="B101" s="59">
        <v>40000</v>
      </c>
      <c r="C101" s="59"/>
      <c r="D101" s="43"/>
      <c r="E101" s="44"/>
      <c r="F101" s="44"/>
      <c r="G101" s="44"/>
      <c r="H101" s="44"/>
      <c r="I101" s="44"/>
      <c r="J101" s="44"/>
      <c r="K101" s="44"/>
      <c r="M101" s="44"/>
      <c r="N101" s="44"/>
      <c r="T101" s="59"/>
      <c r="U101" s="62"/>
      <c r="V101" s="62"/>
    </row>
    <row r="102" spans="1:22" s="61" customFormat="1" hidden="1" x14ac:dyDescent="0.25">
      <c r="A102" s="42" t="s">
        <v>87</v>
      </c>
      <c r="B102" s="59">
        <v>2000</v>
      </c>
      <c r="C102" s="59"/>
      <c r="D102" s="43"/>
      <c r="E102" s="44"/>
      <c r="F102" s="44"/>
      <c r="G102" s="44"/>
      <c r="H102" s="44"/>
      <c r="I102" s="44"/>
      <c r="J102" s="44"/>
      <c r="K102" s="44"/>
      <c r="M102" s="44"/>
      <c r="N102" s="44"/>
      <c r="T102" s="59"/>
      <c r="U102" s="62"/>
      <c r="V102" s="62"/>
    </row>
    <row r="103" spans="1:22" s="61" customFormat="1" hidden="1" x14ac:dyDescent="0.25">
      <c r="A103" s="42" t="s">
        <v>88</v>
      </c>
      <c r="B103" s="59">
        <v>10000</v>
      </c>
      <c r="C103" s="59"/>
      <c r="D103" s="43"/>
      <c r="E103" s="44"/>
      <c r="F103" s="44"/>
      <c r="G103" s="44"/>
      <c r="H103" s="44"/>
      <c r="I103" s="44"/>
      <c r="J103" s="44"/>
      <c r="K103" s="44"/>
      <c r="M103" s="44"/>
      <c r="N103" s="44"/>
      <c r="T103" s="59"/>
      <c r="U103" s="62"/>
      <c r="V103" s="62"/>
    </row>
    <row r="104" spans="1:22" s="61" customFormat="1" hidden="1" x14ac:dyDescent="0.25">
      <c r="A104" s="42" t="s">
        <v>89</v>
      </c>
      <c r="B104" s="59">
        <v>3500</v>
      </c>
      <c r="C104" s="59"/>
      <c r="D104" s="43"/>
      <c r="E104" s="44"/>
      <c r="F104" s="44"/>
      <c r="G104" s="44"/>
      <c r="H104" s="44"/>
      <c r="I104" s="44"/>
      <c r="J104" s="44"/>
      <c r="K104" s="44"/>
      <c r="M104" s="44"/>
      <c r="N104" s="44"/>
      <c r="T104" s="59"/>
      <c r="U104" s="62"/>
      <c r="V104" s="62"/>
    </row>
    <row r="105" spans="1:22" s="61" customFormat="1" hidden="1" x14ac:dyDescent="0.25">
      <c r="A105" s="42" t="s">
        <v>90</v>
      </c>
      <c r="B105" s="59">
        <v>2500</v>
      </c>
      <c r="C105" s="59"/>
      <c r="D105" s="43"/>
      <c r="E105" s="44"/>
      <c r="F105" s="44"/>
      <c r="G105" s="44"/>
      <c r="H105" s="44"/>
      <c r="I105" s="44"/>
      <c r="J105" s="44"/>
      <c r="K105" s="44"/>
      <c r="M105" s="44"/>
      <c r="N105" s="44"/>
      <c r="T105" s="59"/>
      <c r="U105" s="62"/>
      <c r="V105" s="62"/>
    </row>
    <row r="106" spans="1:22" s="61" customFormat="1" hidden="1" x14ac:dyDescent="0.25">
      <c r="A106" s="42" t="s">
        <v>91</v>
      </c>
      <c r="B106" s="59">
        <v>1500</v>
      </c>
      <c r="C106" s="59"/>
      <c r="D106" s="43"/>
      <c r="E106" s="44"/>
      <c r="F106" s="44"/>
      <c r="G106" s="44"/>
      <c r="H106" s="44"/>
      <c r="I106" s="44"/>
      <c r="J106" s="44"/>
      <c r="K106" s="44"/>
      <c r="M106" s="44"/>
      <c r="N106" s="44"/>
      <c r="T106" s="59"/>
      <c r="U106" s="62"/>
      <c r="V106" s="62"/>
    </row>
    <row r="107" spans="1:22" s="61" customFormat="1" hidden="1" x14ac:dyDescent="0.25">
      <c r="A107" s="42" t="s">
        <v>92</v>
      </c>
      <c r="B107" s="59">
        <v>4500</v>
      </c>
      <c r="C107" s="59"/>
      <c r="D107" s="43"/>
      <c r="E107" s="44"/>
      <c r="F107" s="44"/>
      <c r="G107" s="44"/>
      <c r="H107" s="44"/>
      <c r="I107" s="44"/>
      <c r="J107" s="44"/>
      <c r="K107" s="44"/>
      <c r="M107" s="44"/>
      <c r="N107" s="44"/>
      <c r="T107" s="59"/>
      <c r="U107" s="62"/>
      <c r="V107" s="62"/>
    </row>
    <row r="108" spans="1:22" s="61" customFormat="1" hidden="1" x14ac:dyDescent="0.25">
      <c r="A108" s="42"/>
      <c r="C108" s="59"/>
      <c r="D108" s="43"/>
      <c r="E108" s="44"/>
      <c r="F108" s="44"/>
      <c r="G108" s="44"/>
      <c r="H108" s="44"/>
      <c r="I108" s="44"/>
      <c r="J108" s="44"/>
      <c r="K108" s="44"/>
      <c r="M108" s="44"/>
      <c r="N108" s="44"/>
      <c r="T108" s="59"/>
      <c r="U108" s="62"/>
      <c r="V108" s="62"/>
    </row>
    <row r="109" spans="1:22" s="40" customFormat="1" hidden="1" x14ac:dyDescent="0.25">
      <c r="A109" s="42"/>
      <c r="B109" s="59"/>
      <c r="C109" s="59"/>
      <c r="D109" s="43"/>
      <c r="E109" s="44"/>
      <c r="F109" s="44"/>
      <c r="G109" s="44"/>
      <c r="H109" s="44"/>
      <c r="I109" s="44"/>
      <c r="J109" s="44"/>
      <c r="K109" s="44"/>
      <c r="M109" s="44"/>
      <c r="N109" s="44"/>
      <c r="U109" s="41"/>
      <c r="V109" s="41"/>
    </row>
    <row r="110" spans="1:22" s="40" customFormat="1" hidden="1" x14ac:dyDescent="0.25">
      <c r="A110" s="42"/>
      <c r="B110" s="59"/>
      <c r="C110" s="59"/>
      <c r="D110" s="43"/>
      <c r="E110" s="44"/>
      <c r="F110" s="44"/>
      <c r="G110" s="44"/>
      <c r="H110" s="44"/>
      <c r="I110" s="44"/>
      <c r="J110" s="44"/>
      <c r="K110" s="44"/>
      <c r="M110" s="44"/>
      <c r="N110" s="44"/>
      <c r="U110" s="41"/>
      <c r="V110" s="41"/>
    </row>
    <row r="111" spans="1:22" s="40" customFormat="1" ht="13" hidden="1" x14ac:dyDescent="0.25">
      <c r="A111" s="70" t="s">
        <v>93</v>
      </c>
      <c r="B111" s="59"/>
      <c r="C111" s="59"/>
      <c r="D111" s="43"/>
      <c r="E111" s="44"/>
      <c r="F111" s="44"/>
      <c r="G111" s="44"/>
      <c r="H111" s="44"/>
      <c r="I111" s="44"/>
      <c r="J111" s="44"/>
      <c r="K111" s="44"/>
      <c r="M111" s="44"/>
      <c r="N111" s="44"/>
      <c r="U111" s="41"/>
      <c r="V111" s="41"/>
    </row>
    <row r="112" spans="1:22" s="40" customFormat="1" hidden="1" x14ac:dyDescent="0.25">
      <c r="A112" s="42"/>
      <c r="B112" s="59"/>
      <c r="C112" s="59"/>
      <c r="D112" s="43"/>
      <c r="E112" s="44"/>
      <c r="F112" s="44"/>
      <c r="G112" s="44"/>
      <c r="H112" s="44"/>
      <c r="I112" s="44"/>
      <c r="J112" s="44"/>
      <c r="K112" s="44"/>
      <c r="M112" s="44"/>
      <c r="N112" s="44"/>
      <c r="U112" s="41"/>
      <c r="V112" s="41"/>
    </row>
    <row r="113" spans="1:22" hidden="1" x14ac:dyDescent="0.25">
      <c r="A113" s="42" t="s">
        <v>64</v>
      </c>
      <c r="B113" s="59">
        <v>51500</v>
      </c>
    </row>
    <row r="114" spans="1:22" hidden="1" x14ac:dyDescent="0.25">
      <c r="A114" s="42" t="s">
        <v>94</v>
      </c>
      <c r="B114" s="59">
        <v>6900</v>
      </c>
    </row>
    <row r="115" spans="1:22" hidden="1" x14ac:dyDescent="0.25">
      <c r="A115" s="42" t="s">
        <v>95</v>
      </c>
      <c r="B115" s="59">
        <v>42000</v>
      </c>
    </row>
    <row r="116" spans="1:22" hidden="1" x14ac:dyDescent="0.25">
      <c r="A116" s="42" t="s">
        <v>96</v>
      </c>
      <c r="B116" s="59">
        <v>32000</v>
      </c>
    </row>
    <row r="117" spans="1:22" hidden="1" x14ac:dyDescent="0.25">
      <c r="A117" s="42" t="s">
        <v>97</v>
      </c>
      <c r="B117" s="59">
        <v>25000</v>
      </c>
    </row>
    <row r="118" spans="1:22" hidden="1" x14ac:dyDescent="0.25">
      <c r="A118" s="42" t="s">
        <v>98</v>
      </c>
      <c r="B118" s="59">
        <v>25000</v>
      </c>
    </row>
    <row r="119" spans="1:22" hidden="1" x14ac:dyDescent="0.25">
      <c r="A119" s="42"/>
      <c r="B119" s="59"/>
    </row>
    <row r="120" spans="1:22" hidden="1" x14ac:dyDescent="0.25">
      <c r="A120" s="42"/>
      <c r="B120" s="59"/>
    </row>
    <row r="121" spans="1:22" s="40" customFormat="1" hidden="1" x14ac:dyDescent="0.25">
      <c r="A121" s="42"/>
      <c r="B121" s="59"/>
      <c r="C121" s="59"/>
      <c r="D121" s="43"/>
      <c r="E121" s="44"/>
      <c r="F121" s="44"/>
      <c r="G121" s="44"/>
      <c r="H121" s="44"/>
      <c r="I121" s="44"/>
      <c r="J121" s="44"/>
      <c r="K121" s="44"/>
      <c r="M121" s="44"/>
      <c r="N121" s="44"/>
      <c r="U121" s="41"/>
      <c r="V121" s="41"/>
    </row>
    <row r="122" spans="1:22" s="40" customFormat="1" ht="13" hidden="1" x14ac:dyDescent="0.25">
      <c r="A122" s="36" t="s">
        <v>99</v>
      </c>
      <c r="B122" s="59"/>
      <c r="C122" s="59"/>
      <c r="D122" s="43"/>
      <c r="E122" s="44"/>
      <c r="F122" s="44"/>
      <c r="G122" s="44"/>
      <c r="H122" s="44"/>
      <c r="I122" s="44"/>
      <c r="J122" s="44"/>
      <c r="K122" s="44"/>
      <c r="M122" s="44"/>
      <c r="N122" s="44"/>
      <c r="U122" s="41"/>
      <c r="V122" s="41"/>
    </row>
    <row r="123" spans="1:22" s="40" customFormat="1" hidden="1" x14ac:dyDescent="0.25">
      <c r="A123" s="42" t="s">
        <v>100</v>
      </c>
      <c r="B123" s="71">
        <v>7200</v>
      </c>
      <c r="C123" s="59"/>
      <c r="D123" s="43"/>
      <c r="E123" s="44"/>
      <c r="F123" s="44"/>
      <c r="G123" s="44"/>
      <c r="H123" s="44"/>
      <c r="I123" s="44"/>
      <c r="J123" s="44"/>
      <c r="K123" s="44"/>
      <c r="M123" s="44"/>
      <c r="N123" s="44"/>
      <c r="U123" s="41"/>
      <c r="V123" s="41"/>
    </row>
    <row r="124" spans="1:22" s="46" customFormat="1" hidden="1" x14ac:dyDescent="0.25">
      <c r="A124" s="45" t="s">
        <v>101</v>
      </c>
      <c r="C124" s="69"/>
      <c r="D124" s="47"/>
      <c r="E124" s="48"/>
      <c r="F124" s="48"/>
      <c r="G124" s="48"/>
      <c r="H124" s="48"/>
      <c r="I124" s="48"/>
      <c r="J124" s="48"/>
      <c r="K124" s="48"/>
      <c r="M124" s="48"/>
      <c r="N124" s="48"/>
      <c r="T124" s="69">
        <v>1900</v>
      </c>
      <c r="U124" s="50"/>
      <c r="V124" s="50"/>
    </row>
    <row r="125" spans="1:22" s="46" customFormat="1" hidden="1" x14ac:dyDescent="0.25">
      <c r="A125" s="45" t="s">
        <v>102</v>
      </c>
      <c r="C125" s="69"/>
      <c r="D125" s="47"/>
      <c r="E125" s="48"/>
      <c r="F125" s="48"/>
      <c r="G125" s="48"/>
      <c r="H125" s="48"/>
      <c r="I125" s="48"/>
      <c r="J125" s="48"/>
      <c r="K125" s="48"/>
      <c r="M125" s="48"/>
      <c r="N125" s="48"/>
      <c r="T125" s="69">
        <v>3000</v>
      </c>
      <c r="U125" s="50"/>
      <c r="V125" s="50"/>
    </row>
    <row r="126" spans="1:22" s="61" customFormat="1" hidden="1" x14ac:dyDescent="0.25">
      <c r="A126" s="42" t="s">
        <v>103</v>
      </c>
      <c r="B126" s="62">
        <v>1000</v>
      </c>
      <c r="C126" s="59"/>
      <c r="D126" s="43"/>
      <c r="E126" s="44"/>
      <c r="F126" s="44"/>
      <c r="G126" s="44"/>
      <c r="H126" s="44"/>
      <c r="I126" s="44"/>
      <c r="J126" s="44"/>
      <c r="K126" s="44"/>
      <c r="M126" s="44"/>
      <c r="N126" s="44"/>
      <c r="T126" s="59"/>
      <c r="U126" s="62"/>
      <c r="V126" s="62"/>
    </row>
    <row r="127" spans="1:22" s="61" customFormat="1" hidden="1" x14ac:dyDescent="0.25">
      <c r="A127" s="42" t="s">
        <v>104</v>
      </c>
      <c r="B127" s="62">
        <v>1500</v>
      </c>
      <c r="C127" s="59"/>
      <c r="D127" s="43"/>
      <c r="E127" s="44"/>
      <c r="F127" s="44"/>
      <c r="G127" s="44"/>
      <c r="H127" s="44"/>
      <c r="I127" s="44"/>
      <c r="J127" s="44"/>
      <c r="K127" s="44"/>
      <c r="M127" s="44"/>
      <c r="N127" s="44"/>
      <c r="T127" s="59"/>
      <c r="U127" s="62"/>
      <c r="V127" s="62"/>
    </row>
    <row r="128" spans="1:22" s="61" customFormat="1" hidden="1" x14ac:dyDescent="0.25">
      <c r="A128" s="42" t="s">
        <v>105</v>
      </c>
      <c r="B128" s="62">
        <v>1200</v>
      </c>
      <c r="C128" s="59"/>
      <c r="D128" s="43"/>
      <c r="E128" s="44"/>
      <c r="F128" s="44"/>
      <c r="G128" s="44"/>
      <c r="H128" s="44"/>
      <c r="I128" s="44"/>
      <c r="J128" s="44"/>
      <c r="K128" s="44"/>
      <c r="M128" s="44"/>
      <c r="N128" s="44"/>
      <c r="T128" s="59"/>
      <c r="U128" s="62"/>
      <c r="V128" s="62"/>
    </row>
    <row r="129" spans="1:22" s="61" customFormat="1" hidden="1" x14ac:dyDescent="0.25">
      <c r="A129" s="42" t="s">
        <v>106</v>
      </c>
      <c r="B129" s="62">
        <v>800</v>
      </c>
      <c r="C129" s="59"/>
      <c r="D129" s="43"/>
      <c r="E129" s="44"/>
      <c r="F129" s="44"/>
      <c r="G129" s="44"/>
      <c r="H129" s="44"/>
      <c r="I129" s="44"/>
      <c r="J129" s="44"/>
      <c r="K129" s="44"/>
      <c r="M129" s="44"/>
      <c r="N129" s="44"/>
      <c r="T129" s="59"/>
      <c r="U129" s="62"/>
      <c r="V129" s="62"/>
    </row>
    <row r="130" spans="1:22" s="61" customFormat="1" hidden="1" x14ac:dyDescent="0.25">
      <c r="A130" s="42" t="s">
        <v>107</v>
      </c>
      <c r="B130" s="62">
        <v>1000</v>
      </c>
      <c r="C130" s="59"/>
      <c r="D130" s="43"/>
      <c r="E130" s="44"/>
      <c r="F130" s="44"/>
      <c r="G130" s="44"/>
      <c r="H130" s="44"/>
      <c r="I130" s="44"/>
      <c r="J130" s="44"/>
      <c r="K130" s="44"/>
      <c r="M130" s="44"/>
      <c r="N130" s="44"/>
      <c r="T130" s="59"/>
      <c r="U130" s="62"/>
      <c r="V130" s="62"/>
    </row>
    <row r="131" spans="1:22" s="61" customFormat="1" hidden="1" x14ac:dyDescent="0.25">
      <c r="A131" s="42" t="s">
        <v>108</v>
      </c>
      <c r="B131" s="62">
        <v>200</v>
      </c>
      <c r="C131" s="59"/>
      <c r="D131" s="43"/>
      <c r="E131" s="44"/>
      <c r="F131" s="44"/>
      <c r="G131" s="44"/>
      <c r="H131" s="44"/>
      <c r="I131" s="44"/>
      <c r="J131" s="44"/>
      <c r="K131" s="44"/>
      <c r="M131" s="44"/>
      <c r="N131" s="44"/>
      <c r="T131" s="59"/>
      <c r="U131" s="62"/>
      <c r="V131" s="62"/>
    </row>
    <row r="132" spans="1:22" s="61" customFormat="1" hidden="1" x14ac:dyDescent="0.25">
      <c r="A132" s="42" t="s">
        <v>109</v>
      </c>
      <c r="B132" s="62">
        <v>500</v>
      </c>
      <c r="C132" s="59"/>
      <c r="D132" s="43"/>
      <c r="E132" s="44"/>
      <c r="F132" s="44"/>
      <c r="G132" s="44"/>
      <c r="H132" s="44"/>
      <c r="I132" s="44"/>
      <c r="J132" s="44"/>
      <c r="K132" s="44"/>
      <c r="M132" s="44"/>
      <c r="N132" s="44"/>
      <c r="T132" s="59"/>
      <c r="U132" s="62"/>
      <c r="V132" s="62"/>
    </row>
    <row r="133" spans="1:22" hidden="1" x14ac:dyDescent="0.25"/>
    <row r="134" spans="1:22" s="40" customFormat="1" ht="13" hidden="1" x14ac:dyDescent="0.25">
      <c r="A134" s="51"/>
      <c r="B134" s="52">
        <f>SUM(B93:B133)</f>
        <v>300800</v>
      </c>
      <c r="C134" s="52">
        <f>SUM(C93:C133)</f>
        <v>0</v>
      </c>
      <c r="D134" s="52">
        <f>SUM(D93:D133)</f>
        <v>0</v>
      </c>
      <c r="E134" s="53">
        <f>B134+D134</f>
        <v>300800</v>
      </c>
      <c r="F134" s="53"/>
      <c r="G134" s="53"/>
      <c r="H134" s="53">
        <f>C134+E134</f>
        <v>300800</v>
      </c>
      <c r="I134" s="53">
        <f>D134+H134</f>
        <v>300800</v>
      </c>
      <c r="J134" s="53">
        <f>E134+I134</f>
        <v>601600</v>
      </c>
      <c r="K134" s="53">
        <f t="shared" ref="K134:Q134" si="8">H134+J134</f>
        <v>902400</v>
      </c>
      <c r="L134" s="53">
        <f t="shared" si="8"/>
        <v>1203200</v>
      </c>
      <c r="M134" s="53">
        <f t="shared" si="8"/>
        <v>1804800</v>
      </c>
      <c r="N134" s="53">
        <f t="shared" si="8"/>
        <v>2707200</v>
      </c>
      <c r="O134" s="53">
        <f t="shared" si="8"/>
        <v>3910400</v>
      </c>
      <c r="P134" s="53">
        <f t="shared" si="8"/>
        <v>5715200</v>
      </c>
      <c r="Q134" s="53">
        <f t="shared" si="8"/>
        <v>8422400</v>
      </c>
      <c r="R134" s="53"/>
      <c r="S134" s="53">
        <f>O134+Q134</f>
        <v>12332800</v>
      </c>
      <c r="T134" s="56">
        <f>SUM(T93:T133)</f>
        <v>9900</v>
      </c>
      <c r="U134" s="57">
        <v>0.3</v>
      </c>
      <c r="V134" s="41">
        <f>E134*U134</f>
        <v>90240</v>
      </c>
    </row>
    <row r="135" spans="1:22" s="40" customFormat="1" ht="13" hidden="1" x14ac:dyDescent="0.25">
      <c r="A135" s="51"/>
      <c r="B135" s="58"/>
      <c r="C135" s="58"/>
      <c r="D135" s="58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8"/>
      <c r="U135" s="41"/>
      <c r="V135" s="41"/>
    </row>
    <row r="136" spans="1:22" s="40" customFormat="1" ht="13" hidden="1" x14ac:dyDescent="0.25">
      <c r="A136" s="36" t="s">
        <v>110</v>
      </c>
      <c r="B136" s="43"/>
      <c r="C136" s="59"/>
      <c r="D136" s="43"/>
      <c r="E136" s="44"/>
      <c r="F136" s="44"/>
      <c r="G136" s="44"/>
      <c r="H136" s="44"/>
      <c r="I136" s="44"/>
      <c r="J136" s="44"/>
      <c r="K136" s="44"/>
      <c r="M136" s="44"/>
      <c r="N136" s="44"/>
      <c r="U136" s="41"/>
      <c r="V136" s="41"/>
    </row>
    <row r="137" spans="1:22" s="40" customFormat="1" hidden="1" x14ac:dyDescent="0.25">
      <c r="A137" s="42" t="s">
        <v>111</v>
      </c>
      <c r="B137" s="43">
        <v>1500</v>
      </c>
      <c r="C137" s="59"/>
      <c r="D137" s="59">
        <f>C137*9700/1000000</f>
        <v>0</v>
      </c>
      <c r="E137" s="44"/>
      <c r="F137" s="44"/>
      <c r="G137" s="44"/>
      <c r="H137" s="44"/>
      <c r="I137" s="44"/>
      <c r="J137" s="44"/>
      <c r="K137" s="44"/>
      <c r="M137" s="44"/>
      <c r="N137" s="44"/>
      <c r="U137" s="41"/>
      <c r="V137" s="41"/>
    </row>
    <row r="138" spans="1:22" s="61" customFormat="1" hidden="1" x14ac:dyDescent="0.25">
      <c r="A138" s="42" t="s">
        <v>112</v>
      </c>
      <c r="B138" s="43"/>
      <c r="C138" s="59">
        <v>30000</v>
      </c>
      <c r="D138" s="59">
        <f>C138*11000/1000000</f>
        <v>330</v>
      </c>
      <c r="E138" s="44"/>
      <c r="F138" s="44"/>
      <c r="G138" s="44"/>
      <c r="H138" s="44"/>
      <c r="I138" s="44"/>
      <c r="J138" s="44"/>
      <c r="K138" s="44"/>
      <c r="M138" s="44"/>
      <c r="N138" s="44"/>
      <c r="U138" s="62"/>
      <c r="V138" s="62"/>
    </row>
    <row r="139" spans="1:22" s="61" customFormat="1" hidden="1" x14ac:dyDescent="0.25">
      <c r="A139" s="42" t="s">
        <v>113</v>
      </c>
      <c r="B139" s="43">
        <v>1400</v>
      </c>
      <c r="C139" s="59"/>
      <c r="D139" s="59"/>
      <c r="E139" s="44"/>
      <c r="F139" s="44"/>
      <c r="G139" s="44"/>
      <c r="H139" s="44"/>
      <c r="I139" s="44"/>
      <c r="J139" s="44"/>
      <c r="K139" s="44"/>
      <c r="M139" s="44"/>
      <c r="N139" s="44"/>
      <c r="U139" s="62"/>
      <c r="V139" s="62"/>
    </row>
    <row r="140" spans="1:22" s="46" customFormat="1" hidden="1" x14ac:dyDescent="0.25">
      <c r="A140" s="45" t="s">
        <v>114</v>
      </c>
      <c r="B140" s="47"/>
      <c r="E140" s="48"/>
      <c r="F140" s="48"/>
      <c r="G140" s="48"/>
      <c r="H140" s="48"/>
      <c r="I140" s="48"/>
      <c r="J140" s="48"/>
      <c r="K140" s="48"/>
      <c r="M140" s="48"/>
      <c r="N140" s="48"/>
      <c r="S140" s="69">
        <v>100000</v>
      </c>
      <c r="T140" s="69">
        <f>S140*11000/1000000</f>
        <v>1100</v>
      </c>
      <c r="U140" s="50"/>
      <c r="V140" s="50"/>
    </row>
    <row r="141" spans="1:22" s="61" customFormat="1" hidden="1" x14ac:dyDescent="0.25">
      <c r="A141" s="42" t="s">
        <v>115</v>
      </c>
      <c r="B141" s="43">
        <v>1000</v>
      </c>
      <c r="C141" s="59"/>
      <c r="D141" s="59"/>
      <c r="E141" s="44"/>
      <c r="F141" s="44"/>
      <c r="G141" s="44"/>
      <c r="H141" s="44"/>
      <c r="I141" s="44"/>
      <c r="J141" s="44"/>
      <c r="K141" s="44"/>
      <c r="M141" s="44"/>
      <c r="N141" s="44"/>
      <c r="U141" s="62"/>
      <c r="V141" s="62"/>
    </row>
    <row r="142" spans="1:22" s="46" customFormat="1" hidden="1" x14ac:dyDescent="0.25">
      <c r="A142" s="45" t="s">
        <v>116</v>
      </c>
      <c r="C142" s="69"/>
      <c r="D142" s="69"/>
      <c r="E142" s="48"/>
      <c r="F142" s="48"/>
      <c r="G142" s="48"/>
      <c r="H142" s="48"/>
      <c r="I142" s="48"/>
      <c r="J142" s="48"/>
      <c r="K142" s="48"/>
      <c r="M142" s="48"/>
      <c r="N142" s="48"/>
      <c r="T142" s="47">
        <v>2500</v>
      </c>
      <c r="U142" s="50"/>
      <c r="V142" s="50"/>
    </row>
    <row r="143" spans="1:22" s="46" customFormat="1" hidden="1" x14ac:dyDescent="0.25">
      <c r="A143" s="45" t="s">
        <v>117</v>
      </c>
      <c r="C143" s="69"/>
      <c r="D143" s="69"/>
      <c r="E143" s="48"/>
      <c r="F143" s="48"/>
      <c r="G143" s="48"/>
      <c r="H143" s="48"/>
      <c r="I143" s="48"/>
      <c r="J143" s="48"/>
      <c r="K143" s="48"/>
      <c r="M143" s="48"/>
      <c r="N143" s="48"/>
      <c r="T143" s="47">
        <v>5900</v>
      </c>
      <c r="U143" s="50"/>
      <c r="V143" s="50"/>
    </row>
    <row r="144" spans="1:22" s="46" customFormat="1" hidden="1" x14ac:dyDescent="0.25">
      <c r="A144" s="45" t="s">
        <v>118</v>
      </c>
      <c r="C144" s="69"/>
      <c r="D144" s="69"/>
      <c r="E144" s="48"/>
      <c r="F144" s="48"/>
      <c r="G144" s="48"/>
      <c r="H144" s="48"/>
      <c r="I144" s="48"/>
      <c r="J144" s="48"/>
      <c r="K144" s="48"/>
      <c r="M144" s="48"/>
      <c r="N144" s="48"/>
      <c r="T144" s="47">
        <v>1600</v>
      </c>
      <c r="U144" s="50"/>
      <c r="V144" s="50"/>
    </row>
    <row r="145" spans="1:22" s="61" customFormat="1" hidden="1" x14ac:dyDescent="0.25">
      <c r="A145" s="42" t="s">
        <v>119</v>
      </c>
      <c r="B145" s="43">
        <v>440</v>
      </c>
      <c r="C145" s="59"/>
      <c r="D145" s="59"/>
      <c r="E145" s="44"/>
      <c r="F145" s="44"/>
      <c r="G145" s="44"/>
      <c r="H145" s="44"/>
      <c r="I145" s="44"/>
      <c r="J145" s="44"/>
      <c r="K145" s="44"/>
      <c r="M145" s="44"/>
      <c r="N145" s="44"/>
      <c r="U145" s="62"/>
      <c r="V145" s="62"/>
    </row>
    <row r="146" spans="1:22" s="46" customFormat="1" hidden="1" x14ac:dyDescent="0.25">
      <c r="A146" s="45" t="s">
        <v>120</v>
      </c>
      <c r="B146" s="47"/>
      <c r="C146" s="69"/>
      <c r="D146" s="69"/>
      <c r="E146" s="48"/>
      <c r="F146" s="48"/>
      <c r="G146" s="48"/>
      <c r="H146" s="48"/>
      <c r="I146" s="48"/>
      <c r="J146" s="48"/>
      <c r="K146" s="48"/>
      <c r="M146" s="48"/>
      <c r="N146" s="48"/>
      <c r="T146" s="47">
        <v>270</v>
      </c>
      <c r="U146" s="50"/>
      <c r="V146" s="50"/>
    </row>
    <row r="147" spans="1:22" s="46" customFormat="1" hidden="1" x14ac:dyDescent="0.25">
      <c r="A147" s="45" t="s">
        <v>121</v>
      </c>
      <c r="B147" s="47"/>
      <c r="C147" s="69"/>
      <c r="D147" s="69"/>
      <c r="E147" s="48"/>
      <c r="F147" s="48"/>
      <c r="G147" s="48"/>
      <c r="H147" s="48"/>
      <c r="I147" s="48"/>
      <c r="J147" s="48"/>
      <c r="K147" s="48"/>
      <c r="M147" s="48"/>
      <c r="N147" s="48"/>
      <c r="T147" s="47">
        <v>300</v>
      </c>
      <c r="U147" s="50"/>
      <c r="V147" s="50"/>
    </row>
    <row r="148" spans="1:22" s="61" customFormat="1" hidden="1" x14ac:dyDescent="0.25">
      <c r="A148" s="42" t="s">
        <v>122</v>
      </c>
      <c r="B148" s="43">
        <v>1000</v>
      </c>
      <c r="C148" s="59"/>
      <c r="D148" s="59"/>
      <c r="E148" s="44"/>
      <c r="F148" s="44"/>
      <c r="G148" s="44"/>
      <c r="H148" s="44"/>
      <c r="I148" s="44"/>
      <c r="J148" s="44"/>
      <c r="K148" s="44"/>
      <c r="M148" s="44"/>
      <c r="N148" s="44"/>
      <c r="U148" s="62"/>
      <c r="V148" s="62"/>
    </row>
    <row r="149" spans="1:22" s="61" customFormat="1" hidden="1" x14ac:dyDescent="0.25">
      <c r="A149" s="42" t="s">
        <v>123</v>
      </c>
      <c r="B149" s="43">
        <v>700</v>
      </c>
      <c r="C149" s="59"/>
      <c r="D149" s="59"/>
      <c r="E149" s="44"/>
      <c r="F149" s="44"/>
      <c r="G149" s="44"/>
      <c r="H149" s="44"/>
      <c r="I149" s="44"/>
      <c r="J149" s="44"/>
      <c r="K149" s="44"/>
      <c r="M149" s="44"/>
      <c r="N149" s="44"/>
      <c r="U149" s="62"/>
      <c r="V149" s="62"/>
    </row>
    <row r="150" spans="1:22" s="61" customFormat="1" hidden="1" x14ac:dyDescent="0.25">
      <c r="A150" s="42" t="s">
        <v>124</v>
      </c>
      <c r="B150" s="43">
        <v>600</v>
      </c>
      <c r="C150" s="59"/>
      <c r="D150" s="59"/>
      <c r="E150" s="44"/>
      <c r="F150" s="44"/>
      <c r="G150" s="44"/>
      <c r="H150" s="44"/>
      <c r="I150" s="44"/>
      <c r="J150" s="44"/>
      <c r="K150" s="44"/>
      <c r="M150" s="44"/>
      <c r="N150" s="44"/>
      <c r="U150" s="62"/>
      <c r="V150" s="62"/>
    </row>
    <row r="151" spans="1:22" s="46" customFormat="1" hidden="1" x14ac:dyDescent="0.25">
      <c r="A151" s="45" t="s">
        <v>125</v>
      </c>
      <c r="B151" s="47"/>
      <c r="C151" s="69"/>
      <c r="D151" s="69"/>
      <c r="E151" s="48"/>
      <c r="F151" s="48"/>
      <c r="G151" s="48"/>
      <c r="H151" s="48"/>
      <c r="I151" s="48"/>
      <c r="J151" s="48"/>
      <c r="K151" s="48"/>
      <c r="M151" s="48"/>
      <c r="N151" s="48"/>
      <c r="T151" s="50">
        <v>1800</v>
      </c>
      <c r="U151" s="50"/>
      <c r="V151" s="50"/>
    </row>
    <row r="152" spans="1:22" s="61" customFormat="1" hidden="1" x14ac:dyDescent="0.25">
      <c r="A152" s="42"/>
      <c r="B152" s="43"/>
      <c r="C152" s="59"/>
      <c r="D152" s="59"/>
      <c r="E152" s="44"/>
      <c r="F152" s="44"/>
      <c r="G152" s="44"/>
      <c r="H152" s="44"/>
      <c r="I152" s="44"/>
      <c r="J152" s="44"/>
      <c r="K152" s="44"/>
      <c r="M152" s="44"/>
      <c r="N152" s="44"/>
      <c r="T152" s="62"/>
      <c r="U152" s="62"/>
      <c r="V152" s="62"/>
    </row>
    <row r="153" spans="1:22" s="40" customFormat="1" hidden="1" x14ac:dyDescent="0.25">
      <c r="A153" s="42"/>
      <c r="B153" s="43"/>
      <c r="C153" s="59"/>
      <c r="D153" s="43"/>
      <c r="E153" s="44"/>
      <c r="F153" s="44"/>
      <c r="G153" s="44"/>
      <c r="H153" s="44"/>
      <c r="I153" s="44"/>
      <c r="J153" s="44"/>
      <c r="K153" s="44"/>
      <c r="M153" s="44"/>
      <c r="N153" s="44"/>
      <c r="U153" s="41"/>
      <c r="V153" s="41"/>
    </row>
    <row r="154" spans="1:22" s="40" customFormat="1" ht="13" hidden="1" x14ac:dyDescent="0.25">
      <c r="A154" s="51"/>
      <c r="B154" s="52">
        <f>SUM(B137:B153)</f>
        <v>6640</v>
      </c>
      <c r="C154" s="52">
        <f>SUM(C137:C153)</f>
        <v>30000</v>
      </c>
      <c r="D154" s="52">
        <f>SUM(D137:D153)</f>
        <v>330</v>
      </c>
      <c r="E154" s="53">
        <f>B154+D154</f>
        <v>6970</v>
      </c>
      <c r="F154" s="55"/>
      <c r="G154" s="55"/>
      <c r="H154" s="54">
        <v>0.8</v>
      </c>
      <c r="I154" s="55">
        <f>E154*H154</f>
        <v>5576</v>
      </c>
      <c r="J154" s="55"/>
      <c r="K154" s="55"/>
      <c r="M154" s="55"/>
      <c r="N154" s="55"/>
      <c r="T154" s="56">
        <f>SUM(T137:T153)</f>
        <v>13470</v>
      </c>
      <c r="U154" s="57">
        <v>0.8</v>
      </c>
      <c r="V154" s="41">
        <f>E154*U154</f>
        <v>5576</v>
      </c>
    </row>
    <row r="155" spans="1:22" s="40" customFormat="1" ht="13" hidden="1" x14ac:dyDescent="0.25">
      <c r="A155" s="51"/>
      <c r="B155" s="58"/>
      <c r="C155" s="58"/>
      <c r="D155" s="58"/>
      <c r="E155" s="54">
        <v>0.8</v>
      </c>
      <c r="F155" s="54"/>
      <c r="G155" s="54"/>
      <c r="H155" s="54"/>
      <c r="I155" s="55"/>
      <c r="J155" s="55"/>
      <c r="K155" s="55"/>
      <c r="M155" s="55"/>
      <c r="N155" s="55"/>
      <c r="U155" s="41"/>
      <c r="V155" s="41"/>
    </row>
    <row r="156" spans="1:22" s="40" customFormat="1" ht="13" hidden="1" x14ac:dyDescent="0.25">
      <c r="A156" s="36" t="s">
        <v>126</v>
      </c>
      <c r="B156" s="58"/>
      <c r="C156" s="58"/>
      <c r="D156" s="58"/>
      <c r="E156" s="55"/>
      <c r="F156" s="55"/>
      <c r="G156" s="55"/>
      <c r="H156" s="54"/>
      <c r="I156" s="55"/>
      <c r="J156" s="55"/>
      <c r="K156" s="55"/>
      <c r="M156" s="55"/>
      <c r="N156" s="55"/>
      <c r="U156" s="41"/>
      <c r="V156" s="41"/>
    </row>
    <row r="157" spans="1:22" s="40" customFormat="1" ht="13" hidden="1" x14ac:dyDescent="0.25">
      <c r="A157" s="42"/>
      <c r="B157" s="43"/>
      <c r="C157" s="43"/>
      <c r="D157" s="43"/>
      <c r="E157" s="55"/>
      <c r="F157" s="55"/>
      <c r="G157" s="55"/>
      <c r="H157" s="54"/>
      <c r="I157" s="55"/>
      <c r="J157" s="55"/>
      <c r="K157" s="55"/>
      <c r="M157" s="55"/>
      <c r="N157" s="55"/>
      <c r="U157" s="41"/>
      <c r="V157" s="41"/>
    </row>
    <row r="158" spans="1:22" s="40" customFormat="1" ht="13" hidden="1" x14ac:dyDescent="0.25">
      <c r="A158" s="42" t="s">
        <v>127</v>
      </c>
      <c r="B158" s="43"/>
      <c r="C158" s="43">
        <v>1911158</v>
      </c>
      <c r="D158" s="43">
        <f t="shared" ref="D158:D171" si="9">C158*13000/1000000</f>
        <v>24845.054</v>
      </c>
      <c r="E158" s="55"/>
      <c r="F158" s="55"/>
      <c r="G158" s="55"/>
      <c r="H158" s="54"/>
      <c r="I158" s="55"/>
      <c r="J158" s="55"/>
      <c r="K158" s="55"/>
      <c r="M158" s="55"/>
      <c r="N158" s="55"/>
      <c r="U158" s="41"/>
      <c r="V158" s="41"/>
    </row>
    <row r="159" spans="1:22" s="40" customFormat="1" ht="13" hidden="1" x14ac:dyDescent="0.25">
      <c r="A159" s="42" t="s">
        <v>128</v>
      </c>
      <c r="B159" s="43"/>
      <c r="C159" s="43">
        <v>36000</v>
      </c>
      <c r="D159" s="43">
        <f t="shared" si="9"/>
        <v>468</v>
      </c>
      <c r="E159" s="55"/>
      <c r="F159" s="55"/>
      <c r="G159" s="55"/>
      <c r="H159" s="54"/>
      <c r="I159" s="55"/>
      <c r="J159" s="55"/>
      <c r="K159" s="55"/>
      <c r="M159" s="55"/>
      <c r="N159" s="55"/>
      <c r="U159" s="41"/>
      <c r="V159" s="41"/>
    </row>
    <row r="160" spans="1:22" s="40" customFormat="1" ht="13" hidden="1" x14ac:dyDescent="0.25">
      <c r="A160" s="42" t="s">
        <v>129</v>
      </c>
      <c r="B160" s="43"/>
      <c r="C160" s="43">
        <v>269000</v>
      </c>
      <c r="D160" s="43">
        <f t="shared" si="9"/>
        <v>3497</v>
      </c>
      <c r="E160" s="55"/>
      <c r="F160" s="55"/>
      <c r="G160" s="55"/>
      <c r="H160" s="54"/>
      <c r="I160" s="55"/>
      <c r="J160" s="55"/>
      <c r="K160" s="55"/>
      <c r="M160" s="55"/>
      <c r="N160" s="55"/>
      <c r="U160" s="41"/>
      <c r="V160" s="41"/>
    </row>
    <row r="161" spans="1:22" s="40" customFormat="1" ht="13" hidden="1" x14ac:dyDescent="0.25">
      <c r="A161" s="42" t="s">
        <v>130</v>
      </c>
      <c r="B161" s="43"/>
      <c r="C161" s="43">
        <v>23000</v>
      </c>
      <c r="D161" s="43">
        <f t="shared" si="9"/>
        <v>299</v>
      </c>
      <c r="E161" s="55"/>
      <c r="F161" s="55"/>
      <c r="G161" s="55"/>
      <c r="H161" s="54"/>
      <c r="I161" s="55"/>
      <c r="J161" s="55"/>
      <c r="K161" s="55"/>
      <c r="M161" s="55"/>
      <c r="N161" s="55"/>
      <c r="U161" s="41"/>
      <c r="V161" s="41"/>
    </row>
    <row r="162" spans="1:22" s="40" customFormat="1" ht="13" hidden="1" x14ac:dyDescent="0.25">
      <c r="A162" s="42" t="s">
        <v>131</v>
      </c>
      <c r="B162" s="43"/>
      <c r="C162" s="43">
        <v>30000</v>
      </c>
      <c r="D162" s="43">
        <f t="shared" si="9"/>
        <v>390</v>
      </c>
      <c r="E162" s="55"/>
      <c r="F162" s="55"/>
      <c r="G162" s="55"/>
      <c r="H162" s="54"/>
      <c r="I162" s="55"/>
      <c r="J162" s="55"/>
      <c r="K162" s="55"/>
      <c r="M162" s="55"/>
      <c r="N162" s="55"/>
      <c r="U162" s="41"/>
      <c r="V162" s="41"/>
    </row>
    <row r="163" spans="1:22" s="40" customFormat="1" ht="13" hidden="1" x14ac:dyDescent="0.25">
      <c r="A163" s="42" t="s">
        <v>132</v>
      </c>
      <c r="B163" s="43"/>
      <c r="C163" s="43">
        <v>30000</v>
      </c>
      <c r="D163" s="43">
        <f t="shared" si="9"/>
        <v>390</v>
      </c>
      <c r="E163" s="55"/>
      <c r="F163" s="55"/>
      <c r="G163" s="55"/>
      <c r="H163" s="54"/>
      <c r="I163" s="55"/>
      <c r="J163" s="55"/>
      <c r="K163" s="55"/>
      <c r="M163" s="55"/>
      <c r="N163" s="55"/>
      <c r="U163" s="41"/>
      <c r="V163" s="41"/>
    </row>
    <row r="164" spans="1:22" s="40" customFormat="1" ht="13" hidden="1" x14ac:dyDescent="0.25">
      <c r="A164" s="42" t="s">
        <v>133</v>
      </c>
      <c r="B164" s="43"/>
      <c r="C164" s="43">
        <v>25000</v>
      </c>
      <c r="D164" s="43">
        <f t="shared" si="9"/>
        <v>325</v>
      </c>
      <c r="E164" s="55"/>
      <c r="F164" s="55"/>
      <c r="G164" s="55"/>
      <c r="H164" s="54"/>
      <c r="I164" s="55"/>
      <c r="J164" s="55"/>
      <c r="K164" s="55"/>
      <c r="M164" s="55"/>
      <c r="N164" s="55"/>
      <c r="U164" s="41"/>
      <c r="V164" s="41"/>
    </row>
    <row r="165" spans="1:22" s="40" customFormat="1" ht="13" hidden="1" x14ac:dyDescent="0.25">
      <c r="A165" s="42" t="s">
        <v>134</v>
      </c>
      <c r="B165" s="43"/>
      <c r="C165" s="43">
        <v>2000000</v>
      </c>
      <c r="D165" s="43">
        <f t="shared" si="9"/>
        <v>26000</v>
      </c>
      <c r="E165" s="55"/>
      <c r="F165" s="55"/>
      <c r="G165" s="55"/>
      <c r="H165" s="54"/>
      <c r="I165" s="55"/>
      <c r="J165" s="55"/>
      <c r="K165" s="55"/>
      <c r="M165" s="55"/>
      <c r="N165" s="55"/>
      <c r="U165" s="41"/>
      <c r="V165" s="41"/>
    </row>
    <row r="166" spans="1:22" s="40" customFormat="1" ht="13" hidden="1" x14ac:dyDescent="0.25">
      <c r="A166" s="42" t="s">
        <v>135</v>
      </c>
      <c r="B166" s="43"/>
      <c r="C166" s="43">
        <v>36000</v>
      </c>
      <c r="D166" s="43">
        <f t="shared" si="9"/>
        <v>468</v>
      </c>
      <c r="E166" s="55"/>
      <c r="F166" s="55"/>
      <c r="G166" s="55"/>
      <c r="H166" s="54"/>
      <c r="I166" s="55"/>
      <c r="J166" s="55"/>
      <c r="K166" s="55"/>
      <c r="M166" s="55"/>
      <c r="N166" s="55"/>
      <c r="U166" s="41"/>
      <c r="V166" s="41"/>
    </row>
    <row r="167" spans="1:22" s="40" customFormat="1" ht="13" hidden="1" x14ac:dyDescent="0.25">
      <c r="A167" s="42" t="s">
        <v>136</v>
      </c>
      <c r="B167" s="43"/>
      <c r="C167" s="43">
        <v>417000</v>
      </c>
      <c r="D167" s="43">
        <f t="shared" si="9"/>
        <v>5421</v>
      </c>
      <c r="E167" s="55"/>
      <c r="F167" s="55"/>
      <c r="G167" s="55"/>
      <c r="H167" s="54"/>
      <c r="I167" s="55"/>
      <c r="J167" s="55"/>
      <c r="K167" s="55"/>
      <c r="M167" s="55"/>
      <c r="N167" s="55"/>
      <c r="U167" s="41"/>
      <c r="V167" s="41"/>
    </row>
    <row r="168" spans="1:22" s="40" customFormat="1" ht="13" hidden="1" x14ac:dyDescent="0.25">
      <c r="A168" s="42" t="s">
        <v>137</v>
      </c>
      <c r="B168" s="43"/>
      <c r="C168" s="43">
        <v>36000</v>
      </c>
      <c r="D168" s="43">
        <f t="shared" si="9"/>
        <v>468</v>
      </c>
      <c r="E168" s="55"/>
      <c r="F168" s="55"/>
      <c r="G168" s="55"/>
      <c r="H168" s="54"/>
      <c r="I168" s="55"/>
      <c r="J168" s="55"/>
      <c r="K168" s="55"/>
      <c r="M168" s="55"/>
      <c r="N168" s="55"/>
      <c r="U168" s="41"/>
      <c r="V168" s="41"/>
    </row>
    <row r="169" spans="1:22" s="40" customFormat="1" ht="13" hidden="1" x14ac:dyDescent="0.25">
      <c r="A169" s="42" t="s">
        <v>138</v>
      </c>
      <c r="B169" s="43"/>
      <c r="C169" s="43">
        <v>160000</v>
      </c>
      <c r="D169" s="43">
        <f t="shared" si="9"/>
        <v>2080</v>
      </c>
      <c r="E169" s="55"/>
      <c r="F169" s="55"/>
      <c r="G169" s="55"/>
      <c r="H169" s="54"/>
      <c r="I169" s="55"/>
      <c r="J169" s="55"/>
      <c r="K169" s="55"/>
      <c r="M169" s="55"/>
      <c r="N169" s="55"/>
      <c r="U169" s="41"/>
      <c r="V169" s="41"/>
    </row>
    <row r="170" spans="1:22" s="40" customFormat="1" ht="13" hidden="1" x14ac:dyDescent="0.25">
      <c r="A170" s="42" t="s">
        <v>139</v>
      </c>
      <c r="B170" s="43"/>
      <c r="C170" s="43">
        <v>155000</v>
      </c>
      <c r="D170" s="43">
        <f t="shared" si="9"/>
        <v>2015</v>
      </c>
      <c r="E170" s="55"/>
      <c r="F170" s="55"/>
      <c r="G170" s="55"/>
      <c r="H170" s="54"/>
      <c r="I170" s="55"/>
      <c r="J170" s="55"/>
      <c r="K170" s="55"/>
      <c r="M170" s="55"/>
      <c r="N170" s="55"/>
      <c r="U170" s="41"/>
      <c r="V170" s="41"/>
    </row>
    <row r="171" spans="1:22" s="40" customFormat="1" ht="13" hidden="1" x14ac:dyDescent="0.25">
      <c r="A171" s="42" t="s">
        <v>140</v>
      </c>
      <c r="B171" s="43"/>
      <c r="C171" s="43">
        <v>260000</v>
      </c>
      <c r="D171" s="43">
        <f t="shared" si="9"/>
        <v>3380</v>
      </c>
      <c r="E171" s="55"/>
      <c r="F171" s="55"/>
      <c r="G171" s="55"/>
      <c r="H171" s="54"/>
      <c r="I171" s="55"/>
      <c r="J171" s="55"/>
      <c r="K171" s="55"/>
      <c r="M171" s="55"/>
      <c r="N171" s="55"/>
      <c r="U171" s="41"/>
      <c r="V171" s="41"/>
    </row>
    <row r="172" spans="1:22" s="40" customFormat="1" ht="13" hidden="1" x14ac:dyDescent="0.25">
      <c r="A172" s="42"/>
      <c r="B172" s="43"/>
      <c r="C172" s="43"/>
      <c r="D172" s="43"/>
      <c r="E172" s="55"/>
      <c r="F172" s="55"/>
      <c r="G172" s="55"/>
      <c r="H172" s="54"/>
      <c r="I172" s="55"/>
      <c r="J172" s="55"/>
      <c r="K172" s="55"/>
      <c r="M172" s="55"/>
      <c r="N172" s="55"/>
      <c r="U172" s="41"/>
      <c r="V172" s="41"/>
    </row>
    <row r="173" spans="1:22" s="40" customFormat="1" ht="13" hidden="1" x14ac:dyDescent="0.25">
      <c r="A173" s="42"/>
      <c r="B173" s="43"/>
      <c r="C173" s="43"/>
      <c r="D173" s="43"/>
      <c r="E173" s="55"/>
      <c r="F173" s="55"/>
      <c r="G173" s="55"/>
      <c r="H173" s="54"/>
      <c r="I173" s="55"/>
      <c r="J173" s="55"/>
      <c r="K173" s="55"/>
      <c r="M173" s="55"/>
      <c r="N173" s="55"/>
      <c r="U173" s="41"/>
      <c r="V173" s="41"/>
    </row>
    <row r="174" spans="1:22" s="40" customFormat="1" ht="13" hidden="1" x14ac:dyDescent="0.25">
      <c r="A174" s="42"/>
      <c r="B174" s="43"/>
      <c r="C174" s="43"/>
      <c r="D174" s="43"/>
      <c r="E174" s="55"/>
      <c r="F174" s="55"/>
      <c r="G174" s="55"/>
      <c r="H174" s="54"/>
      <c r="I174" s="55"/>
      <c r="J174" s="55"/>
      <c r="K174" s="55"/>
      <c r="M174" s="55"/>
      <c r="N174" s="55"/>
      <c r="U174" s="41"/>
      <c r="V174" s="41"/>
    </row>
    <row r="175" spans="1:22" s="40" customFormat="1" ht="13" hidden="1" x14ac:dyDescent="0.25">
      <c r="A175" s="42"/>
      <c r="B175" s="43"/>
      <c r="C175" s="43"/>
      <c r="D175" s="43"/>
      <c r="E175" s="55"/>
      <c r="F175" s="55"/>
      <c r="G175" s="55"/>
      <c r="H175" s="54"/>
      <c r="I175" s="55"/>
      <c r="J175" s="55"/>
      <c r="K175" s="55"/>
      <c r="M175" s="55"/>
      <c r="N175" s="55"/>
      <c r="U175" s="41"/>
      <c r="V175" s="41"/>
    </row>
    <row r="176" spans="1:22" s="40" customFormat="1" ht="13" hidden="1" x14ac:dyDescent="0.25">
      <c r="A176" s="51"/>
      <c r="B176" s="52">
        <f>SUM(B158:B175)</f>
        <v>0</v>
      </c>
      <c r="C176" s="52">
        <f>SUM(C158:C175)</f>
        <v>5388158</v>
      </c>
      <c r="D176" s="52">
        <f>SUM(D158:D175)</f>
        <v>70046.054000000004</v>
      </c>
      <c r="E176" s="53">
        <f>B176+D176</f>
        <v>70046.054000000004</v>
      </c>
      <c r="F176" s="55"/>
      <c r="G176" s="55"/>
      <c r="H176" s="54">
        <v>0.3</v>
      </c>
      <c r="I176" s="55">
        <f>E176*H176</f>
        <v>21013.816200000001</v>
      </c>
      <c r="J176" s="55"/>
      <c r="K176" s="55"/>
      <c r="M176" s="55"/>
      <c r="N176" s="55"/>
      <c r="T176" s="52">
        <f>SUM(T158:T175)</f>
        <v>0</v>
      </c>
      <c r="U176" s="57">
        <v>0.1</v>
      </c>
      <c r="V176" s="41">
        <f>E176*U176</f>
        <v>7004.6054000000004</v>
      </c>
    </row>
    <row r="177" spans="1:22" s="40" customFormat="1" ht="13" hidden="1" x14ac:dyDescent="0.25">
      <c r="A177" s="51"/>
      <c r="B177" s="58"/>
      <c r="C177" s="58"/>
      <c r="D177" s="58"/>
      <c r="E177" s="55"/>
      <c r="F177" s="55"/>
      <c r="G177" s="55"/>
      <c r="H177" s="55"/>
      <c r="I177" s="55"/>
      <c r="J177" s="55"/>
      <c r="K177" s="55"/>
      <c r="M177" s="55"/>
      <c r="N177" s="55"/>
      <c r="T177" s="58"/>
      <c r="U177" s="41"/>
      <c r="V177" s="41"/>
    </row>
    <row r="178" spans="1:22" s="40" customFormat="1" ht="13.5" hidden="1" thickBot="1" x14ac:dyDescent="0.3">
      <c r="A178" s="72" t="s">
        <v>141</v>
      </c>
      <c r="B178" s="73">
        <f>B54+B66+B90+B134+B154+B176</f>
        <v>849090</v>
      </c>
      <c r="C178" s="73">
        <f>C54+C66+C90+C134+C154+C176</f>
        <v>9973158</v>
      </c>
      <c r="D178" s="73">
        <f>D54+D66+D90+D134+D154+D176</f>
        <v>125891.054</v>
      </c>
      <c r="E178" s="73">
        <f>E54+E66+E90+E134+E154+E176</f>
        <v>974981.054</v>
      </c>
      <c r="F178" s="73"/>
      <c r="G178" s="73"/>
      <c r="H178" s="73"/>
      <c r="I178" s="73">
        <f>I54+I66+I90+I134+I154+I176</f>
        <v>439299.8162</v>
      </c>
      <c r="J178" s="66"/>
      <c r="K178" s="66"/>
      <c r="M178" s="66"/>
      <c r="N178" s="66"/>
      <c r="T178" s="74">
        <f>T54+T66+T90+T134+T154+T176+W22</f>
        <v>231370</v>
      </c>
      <c r="U178" s="41"/>
      <c r="V178" s="73">
        <f>V54+V66+V90+V134+V154+V176+Y22</f>
        <v>209201.1054</v>
      </c>
    </row>
    <row r="179" spans="1:22" hidden="1" x14ac:dyDescent="0.25">
      <c r="E179" s="75"/>
      <c r="F179" s="75"/>
      <c r="G179" s="75"/>
      <c r="T179" s="75"/>
    </row>
    <row r="180" spans="1:22" hidden="1" x14ac:dyDescent="0.25"/>
    <row r="181" spans="1:22" hidden="1" x14ac:dyDescent="0.25"/>
    <row r="182" spans="1:22" hidden="1" x14ac:dyDescent="0.25"/>
    <row r="183" spans="1:22" hidden="1" x14ac:dyDescent="0.25"/>
    <row r="184" spans="1:22" hidden="1" x14ac:dyDescent="0.25"/>
    <row r="185" spans="1:22" hidden="1" x14ac:dyDescent="0.25"/>
    <row r="186" spans="1:22" hidden="1" x14ac:dyDescent="0.25"/>
    <row r="187" spans="1:22" hidden="1" x14ac:dyDescent="0.25"/>
    <row r="188" spans="1:22" hidden="1" x14ac:dyDescent="0.25"/>
    <row r="189" spans="1:22" hidden="1" x14ac:dyDescent="0.25"/>
    <row r="190" spans="1:22" hidden="1" x14ac:dyDescent="0.25"/>
    <row r="191" spans="1:22" hidden="1" x14ac:dyDescent="0.25"/>
    <row r="192" spans="1:22" hidden="1" x14ac:dyDescent="0.25"/>
    <row r="193" spans="7:7" hidden="1" x14ac:dyDescent="0.25"/>
    <row r="194" spans="7:7" x14ac:dyDescent="0.25">
      <c r="G194" s="97"/>
    </row>
  </sheetData>
  <mergeCells count="3">
    <mergeCell ref="A1:E1"/>
    <mergeCell ref="A2:E2"/>
    <mergeCell ref="A3:E3"/>
  </mergeCells>
  <printOptions horizontalCentered="1"/>
  <pageMargins left="0.74803149606299213" right="0.74803149606299213" top="0.98425196850393704" bottom="0.98425196850393704" header="0.51181102362204722" footer="0.51181102362204722"/>
  <pageSetup paperSize="9" scale="81" fitToHeight="0" orientation="portrait" r:id="rId1"/>
  <headerFooter alignWithMargins="0">
    <oddFooter>&amp;R&amp;P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backlog 1217</vt:lpstr>
      <vt:lpstr>Summary (2)</vt:lpstr>
      <vt:lpstr>Summary</vt:lpstr>
      <vt:lpstr>'backlog 1217'!Print_Area</vt:lpstr>
      <vt:lpstr>'backlog 1217'!Print_Titles</vt:lpstr>
      <vt:lpstr>Summary!Print_Titles</vt:lpstr>
      <vt:lpstr>'Summary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Wulan</dc:creator>
  <cp:lastModifiedBy>Langitarum</cp:lastModifiedBy>
  <cp:lastPrinted>2018-03-19T06:50:41Z</cp:lastPrinted>
  <dcterms:created xsi:type="dcterms:W3CDTF">2017-03-09T04:48:54Z</dcterms:created>
  <dcterms:modified xsi:type="dcterms:W3CDTF">2021-04-15T10:36:11Z</dcterms:modified>
</cp:coreProperties>
</file>